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con prov y def" sheetId="1" r:id="rId1"/>
    <sheet name="provincia" sheetId="2" r:id="rId2"/>
    <sheet name="tipo" sheetId="3" r:id="rId3"/>
    <sheet name="origen" sheetId="4" r:id="rId4"/>
  </sheets>
  <definedNames>
    <definedName name="_xlnm.Print_Area" localSheetId="2">tipo!$B$4:$G$34</definedName>
  </definedNames>
  <calcPr calcId="144525"/>
</workbook>
</file>

<file path=xl/calcChain.xml><?xml version="1.0" encoding="utf-8"?>
<calcChain xmlns="http://schemas.openxmlformats.org/spreadsheetml/2006/main">
  <c r="C13" i="4" l="1"/>
  <c r="C26" i="4"/>
  <c r="C19" i="4"/>
  <c r="C14" i="4"/>
  <c r="D21" i="3"/>
  <c r="D31" i="3"/>
  <c r="D25" i="3"/>
  <c r="D13" i="3"/>
  <c r="D17" i="3"/>
  <c r="D15" i="3"/>
  <c r="F17" i="3"/>
  <c r="D23" i="3"/>
  <c r="F15" i="3"/>
  <c r="F13" i="3"/>
  <c r="G13" i="2"/>
  <c r="G31" i="2" s="1"/>
  <c r="G108" i="1"/>
  <c r="G25" i="2"/>
  <c r="G23" i="2"/>
  <c r="E13" i="2"/>
  <c r="E108" i="1"/>
  <c r="E31" i="2"/>
  <c r="E25" i="2"/>
  <c r="E19" i="2"/>
  <c r="E23" i="2"/>
  <c r="E106" i="1"/>
  <c r="E105" i="1"/>
  <c r="E104" i="1"/>
  <c r="E103" i="1"/>
  <c r="E102" i="1"/>
  <c r="F31" i="3" l="1"/>
  <c r="B31" i="3" l="1"/>
  <c r="E17" i="2"/>
  <c r="G19" i="2"/>
  <c r="E96" i="1"/>
  <c r="E94" i="1"/>
  <c r="B88" i="1"/>
  <c r="B89" i="1" s="1"/>
  <c r="B90" i="1" s="1"/>
  <c r="B91" i="1" s="1"/>
  <c r="B92" i="1" s="1"/>
  <c r="B93" i="1" s="1"/>
  <c r="B94" i="1" s="1"/>
  <c r="B95" i="1" s="1"/>
  <c r="B96" i="1" s="1"/>
  <c r="B108" i="1" s="1"/>
  <c r="F25" i="3" l="1"/>
  <c r="C28" i="4" l="1"/>
  <c r="E29" i="2"/>
  <c r="E24" i="4" l="1"/>
  <c r="E83" i="1"/>
  <c r="E82" i="1"/>
  <c r="E81" i="1"/>
  <c r="E80" i="1"/>
  <c r="E73" i="1" l="1"/>
  <c r="E72" i="1"/>
  <c r="E71" i="1"/>
  <c r="G27" i="2" l="1"/>
  <c r="E27" i="2"/>
  <c r="F21" i="3"/>
  <c r="E66" i="1" l="1"/>
  <c r="E65" i="1"/>
  <c r="E60" i="1"/>
  <c r="E59" i="1"/>
  <c r="E58" i="1"/>
  <c r="E57" i="1"/>
  <c r="G21" i="3" l="1"/>
  <c r="E53" i="1"/>
  <c r="E52" i="1"/>
  <c r="E51" i="1"/>
  <c r="E49" i="1"/>
  <c r="E44" i="1"/>
  <c r="E43" i="1"/>
  <c r="E38" i="1"/>
  <c r="E37" i="1"/>
  <c r="E22" i="4" l="1"/>
  <c r="E14" i="4"/>
  <c r="E21" i="4"/>
  <c r="G25" i="3"/>
  <c r="G27" i="3"/>
  <c r="G29" i="3"/>
  <c r="G14" i="3"/>
  <c r="D19" i="3"/>
  <c r="C31" i="2"/>
  <c r="E17" i="4" l="1"/>
  <c r="E15" i="4"/>
  <c r="E25" i="4"/>
  <c r="G23" i="3"/>
  <c r="G19" i="3"/>
  <c r="G13" i="3"/>
  <c r="G15" i="3"/>
  <c r="G17" i="3"/>
  <c r="E18" i="4"/>
  <c r="E23" i="4"/>
  <c r="E20" i="4"/>
  <c r="E13" i="4"/>
  <c r="E16" i="4"/>
  <c r="E26" i="4"/>
  <c r="E19" i="4"/>
  <c r="E22" i="1"/>
  <c r="E20" i="1"/>
  <c r="E19" i="1"/>
  <c r="E28" i="4" l="1"/>
  <c r="G31" i="3"/>
  <c r="H21" i="2"/>
  <c r="H17" i="2"/>
  <c r="H27" i="2"/>
  <c r="H15" i="2"/>
  <c r="H19" i="2"/>
  <c r="H23" i="2"/>
  <c r="H25" i="2"/>
  <c r="H29" i="2"/>
  <c r="H16" i="2"/>
  <c r="H13" i="2"/>
  <c r="F25" i="2"/>
  <c r="F15" i="2"/>
  <c r="F29" i="2"/>
  <c r="F17" i="2"/>
  <c r="F23" i="2"/>
  <c r="F19" i="2"/>
  <c r="F21" i="2"/>
  <c r="F27" i="2"/>
  <c r="F13" i="2"/>
  <c r="E21" i="3"/>
  <c r="E13" i="3"/>
  <c r="E29" i="3"/>
  <c r="E23" i="3"/>
  <c r="E19" i="3"/>
  <c r="E17" i="3"/>
  <c r="E27" i="3"/>
  <c r="E25" i="3"/>
  <c r="E15" i="3"/>
  <c r="F31" i="2" l="1"/>
  <c r="E31" i="3"/>
  <c r="H31" i="2"/>
</calcChain>
</file>

<file path=xl/sharedStrings.xml><?xml version="1.0" encoding="utf-8"?>
<sst xmlns="http://schemas.openxmlformats.org/spreadsheetml/2006/main" count="522" uniqueCount="250">
  <si>
    <t>MINISTERIO DE TURISMO</t>
  </si>
  <si>
    <t>Viceministerio Técnico</t>
  </si>
  <si>
    <t>DESARROLLOS TURISTICOS CLASIFICADOS POR CONFOTUR CONSOLIDADO DE 2016</t>
  </si>
  <si>
    <t>No.</t>
  </si>
  <si>
    <t>Nombre</t>
  </si>
  <si>
    <t xml:space="preserve">Promotor </t>
  </si>
  <si>
    <t>Inversión</t>
  </si>
  <si>
    <t>Tipo de</t>
  </si>
  <si>
    <t>Origen</t>
  </si>
  <si>
    <t>Orden</t>
  </si>
  <si>
    <t>del Proyecto</t>
  </si>
  <si>
    <t xml:space="preserve"> del Proyecto</t>
  </si>
  <si>
    <t>En US$</t>
  </si>
  <si>
    <t>Habitaciones</t>
  </si>
  <si>
    <t>Desarrollo</t>
  </si>
  <si>
    <t>Localización</t>
  </si>
  <si>
    <t>Clasificación</t>
  </si>
  <si>
    <t>04 DE FEBRERO</t>
  </si>
  <si>
    <t>Par 3 Golf Residences</t>
  </si>
  <si>
    <t>PINECREST HILL, S.R.L.</t>
  </si>
  <si>
    <t>Inmobiliario-Hotelero</t>
  </si>
  <si>
    <t>La Altagracia</t>
  </si>
  <si>
    <t>Venezolana</t>
  </si>
  <si>
    <t>Provisional</t>
  </si>
  <si>
    <t>Las Terrazas</t>
  </si>
  <si>
    <t>INVERSIONS SOCAVON, S.R.L.</t>
  </si>
  <si>
    <t>Inmobiliario -turistico</t>
  </si>
  <si>
    <t>Remodelacion Hotel Crowne Plaza Sto.Dgo.</t>
  </si>
  <si>
    <t>INVERPLATA, S. A.</t>
  </si>
  <si>
    <t>Hotelero</t>
  </si>
  <si>
    <t>Santo Domingo</t>
  </si>
  <si>
    <t>Definitivo</t>
  </si>
  <si>
    <t>Playa Grande 2da. Etapa</t>
  </si>
  <si>
    <t>Playa Grande Holding, INC.</t>
  </si>
  <si>
    <t>Inmobiliario-turistico</t>
  </si>
  <si>
    <t>Ma. Trinidad Sanchez</t>
  </si>
  <si>
    <t>Francesa/chipriota</t>
  </si>
  <si>
    <t>Vista Marina Residence</t>
  </si>
  <si>
    <t>Vista Marina Residence, SRL.</t>
  </si>
  <si>
    <t>Dominicana</t>
  </si>
  <si>
    <t>03 de marzo</t>
  </si>
  <si>
    <t>Hotel Four Seasons Tropicalia</t>
  </si>
  <si>
    <t>Inversiones Cuatro Estaciones, SAS.</t>
  </si>
  <si>
    <t>Inmobiliario-hotelero</t>
  </si>
  <si>
    <t>El Seibo</t>
  </si>
  <si>
    <t>USA/Dominicana</t>
  </si>
  <si>
    <t>Mercado Gastronomico de San Rafael</t>
  </si>
  <si>
    <t>Inuit, SRL</t>
  </si>
  <si>
    <t>Oferta Complentaria</t>
  </si>
  <si>
    <t>Italiana/Dominicana</t>
  </si>
  <si>
    <t>Jalao 100% D Aquí</t>
  </si>
  <si>
    <t>Jalao, SRL</t>
  </si>
  <si>
    <t>Oferta Complementaria</t>
  </si>
  <si>
    <t>Austriaco/Dominicana</t>
  </si>
  <si>
    <t>Viva Wyndham V Heavens</t>
  </si>
  <si>
    <t>Inversiones BR, SAS</t>
  </si>
  <si>
    <t>Puerto Plata</t>
  </si>
  <si>
    <t>Italiana/ Dominicana</t>
  </si>
  <si>
    <t>Tropicalia Primara Fase</t>
  </si>
  <si>
    <t>Inversiones La Querencia, S. A.</t>
  </si>
  <si>
    <t>Inmobiliario-Turistico</t>
  </si>
  <si>
    <t>Bavaro Tropical Mall</t>
  </si>
  <si>
    <t>Grupo BTN, SRL.</t>
  </si>
  <si>
    <t>Dominico/USA</t>
  </si>
  <si>
    <t>10 de marzo</t>
  </si>
  <si>
    <t>Punta Cana Health Center</t>
  </si>
  <si>
    <t>Punta Cana Health Center, L. P.</t>
  </si>
  <si>
    <t>Turismo de Salud</t>
  </si>
  <si>
    <t>Construccion de Quirofanos Oftalmologicos y Anexos del Instituto Espaillat Cabral para ser dedicado al turismo de salud.</t>
  </si>
  <si>
    <t>SERVOFTAL, S. A.</t>
  </si>
  <si>
    <t>12 de abril</t>
  </si>
  <si>
    <t>Lake Village</t>
  </si>
  <si>
    <t>LV Golf Condos, S.R.L.</t>
  </si>
  <si>
    <t>Inmobiliario-turístico</t>
  </si>
  <si>
    <t>Italiana/dominicana</t>
  </si>
  <si>
    <t>La Ensenada Beach Residences Golf y Marina</t>
  </si>
  <si>
    <t>Fideicomiso La Ensenada</t>
  </si>
  <si>
    <t>San Pedro de Macorís</t>
  </si>
  <si>
    <t>Gardden Villas</t>
  </si>
  <si>
    <t>Inversiones Proyeste, S.R.L.</t>
  </si>
  <si>
    <t>La Altagaracia</t>
  </si>
  <si>
    <t>Dominico/panameña.</t>
  </si>
  <si>
    <t>Condominio Las Brisas</t>
  </si>
  <si>
    <t>Lazulibis Transactions, S.R.L.</t>
  </si>
  <si>
    <t>Valcaoba</t>
  </si>
  <si>
    <t>Promoba, S.A.S.</t>
  </si>
  <si>
    <t>Samaná</t>
  </si>
  <si>
    <t>Francesa</t>
  </si>
  <si>
    <t>Jarabacoa Contry Club</t>
  </si>
  <si>
    <t>Jarabacoa Contry Club, S.A.</t>
  </si>
  <si>
    <t>La Vega</t>
  </si>
  <si>
    <t>Funete: MITUR-CONFOTUR.</t>
  </si>
  <si>
    <t>SEGÚN UBICACIÓN</t>
  </si>
  <si>
    <t xml:space="preserve">NUMERO DE </t>
  </si>
  <si>
    <t>INVERSION TOTAL</t>
  </si>
  <si>
    <t>HABITACIONES</t>
  </si>
  <si>
    <t>PROYECTOS</t>
  </si>
  <si>
    <t>PROVINCIAS</t>
  </si>
  <si>
    <t>EN MILLONES US$</t>
  </si>
  <si>
    <t>%</t>
  </si>
  <si>
    <t>TURISTICAS</t>
  </si>
  <si>
    <t>TOTAL</t>
  </si>
  <si>
    <t>Fuente: MITUR-CONFOTUR</t>
  </si>
  <si>
    <t>DESARROLLOS TURISTICOS CLASIFICADOS POR CONFOTUR EN 2016</t>
  </si>
  <si>
    <t>Vicceministerio Técnico</t>
  </si>
  <si>
    <t>SEGÚN ORIGEN DE LA INVERSION</t>
  </si>
  <si>
    <t>PARTICIPACION</t>
  </si>
  <si>
    <t>ORIGEN DE INVERSION</t>
  </si>
  <si>
    <t>MILLONES DE US$</t>
  </si>
  <si>
    <t>SEGÚN TIPO DE PROYECTO</t>
  </si>
  <si>
    <t xml:space="preserve">HABITACIONES </t>
  </si>
  <si>
    <t>No. PROYECTOS</t>
  </si>
  <si>
    <t>TIPO DE DESARROLLO</t>
  </si>
  <si>
    <t>MILLONES US$</t>
  </si>
  <si>
    <t>Ma. Trinidad Sánchez</t>
  </si>
  <si>
    <t>Turismo-salud</t>
  </si>
  <si>
    <t>31 de mayo</t>
  </si>
  <si>
    <t>30 de junio</t>
  </si>
  <si>
    <t>28 de abril</t>
  </si>
  <si>
    <t>Hotel Occidental Grand Punta Cana (Rem. Y Mod)</t>
  </si>
  <si>
    <t>Inversora Internacional Hotelera, SRL.</t>
  </si>
  <si>
    <t>Española</t>
  </si>
  <si>
    <t>Hotel Barceló Dominican Beach (Ampliación)</t>
  </si>
  <si>
    <t>BCLO Ocean BAV  B.V.</t>
  </si>
  <si>
    <t>Beach One Juan Dolio</t>
  </si>
  <si>
    <t>Consultora Bertanica, SRL</t>
  </si>
  <si>
    <t>Condo-hotel</t>
  </si>
  <si>
    <t xml:space="preserve"> Dominicana</t>
  </si>
  <si>
    <t>Proyecto Dawn Town Mall</t>
  </si>
  <si>
    <t>Inversiones Mi Retiro, SRL.</t>
  </si>
  <si>
    <t>Centro Comercial</t>
  </si>
  <si>
    <t>Venezolana/Dominicana</t>
  </si>
  <si>
    <t>Remodelación y mod. Hotel Occidental Embajador</t>
  </si>
  <si>
    <t>Occifitur Dominicana SRL.</t>
  </si>
  <si>
    <t>Dominico/española</t>
  </si>
  <si>
    <t xml:space="preserve">Proy. La Ensenada Beach, Residences Golf &amp; Marina. </t>
  </si>
  <si>
    <t>San Pedro de Macoris</t>
  </si>
  <si>
    <t>Il Lago at Cap Cana, (primera fase).</t>
  </si>
  <si>
    <t>Tarjet Group, S. A.</t>
  </si>
  <si>
    <t>Italiana</t>
  </si>
  <si>
    <t>Paseo del Mar</t>
  </si>
  <si>
    <t>Kanyon Investments, SRL.</t>
  </si>
  <si>
    <t>Aparta-hotel</t>
  </si>
  <si>
    <t>Rad Park Punta Cana</t>
  </si>
  <si>
    <t>Downtown Punta Cana, SRL.</t>
  </si>
  <si>
    <t>-</t>
  </si>
  <si>
    <t>Parque Acuatico</t>
  </si>
  <si>
    <t>Bahía Flamencos Punta Arena Etapa I</t>
  </si>
  <si>
    <t>Spring Bay Phase I, SAS.</t>
  </si>
  <si>
    <t>Peravia</t>
  </si>
  <si>
    <t>Pinecrest Hills, SRL.</t>
  </si>
  <si>
    <t>Hamton By Hilton Santo Domingo Airport</t>
  </si>
  <si>
    <t>Dominican Development DDP, SRL.</t>
  </si>
  <si>
    <t>Downtown Mall</t>
  </si>
  <si>
    <t>Venezolana/dominicana</t>
  </si>
  <si>
    <t>IL Lago at Cap Cana (Primera Fase). (Correción RES)</t>
  </si>
  <si>
    <t>Traget Group, S. A.</t>
  </si>
  <si>
    <t>Parque acuatico</t>
  </si>
  <si>
    <t>Dominicana/venezolana</t>
  </si>
  <si>
    <t>19 de julio</t>
  </si>
  <si>
    <t>Hotel Viva Windham Tangerine (Rem)</t>
  </si>
  <si>
    <t>Inversiones PROVEMEX, SAS</t>
  </si>
  <si>
    <t>Coral Village</t>
  </si>
  <si>
    <t>NYALA, SRL</t>
  </si>
  <si>
    <t>Hacienda Punta Cana 2da. Etapa.</t>
  </si>
  <si>
    <t>Inversiones LEZEMA, SAS</t>
  </si>
  <si>
    <t xml:space="preserve">Hotel Excellence el Carmen (Mod. Clas. Definitiva) </t>
  </si>
  <si>
    <t xml:space="preserve">Inversiones Carmen, SRL. </t>
  </si>
  <si>
    <t>10 de agosto</t>
  </si>
  <si>
    <t>Lakeside Villas at Cap Cana</t>
  </si>
  <si>
    <t>Dalmally Securities, LTD.</t>
  </si>
  <si>
    <t>Oasis del Lago (Primera Fase)</t>
  </si>
  <si>
    <t xml:space="preserve">Newcom Investments Dominicana </t>
  </si>
  <si>
    <t>Argentina</t>
  </si>
  <si>
    <t>Playa Coral</t>
  </si>
  <si>
    <t>Playa Morittimo, SRL.</t>
  </si>
  <si>
    <t>Bahia Flamencos en Puntarena (Etapa I-A)</t>
  </si>
  <si>
    <t>DESARROLLOS TURISTICOS CLASIFICADO POR CONFOTUR EN 2016</t>
  </si>
  <si>
    <t>07 de octubre</t>
  </si>
  <si>
    <t>Bluemarina Suites y Spa.</t>
  </si>
  <si>
    <t>ULTRABLU, SRL.</t>
  </si>
  <si>
    <t>Bahia Principe Cayo Levantado (Ampliacion)</t>
  </si>
  <si>
    <t>Inversiones Whale Bahia, S.R.L.</t>
  </si>
  <si>
    <t>Four Points By Sheraton at Punta Cana Village (Ampliar)</t>
  </si>
  <si>
    <t>Inversiones Hocentaz, SAS.</t>
  </si>
  <si>
    <t>Garden Villas</t>
  </si>
  <si>
    <t>Inversiones Proyeste, SRL.</t>
  </si>
  <si>
    <t>Inmibiliario-turistico</t>
  </si>
  <si>
    <t>Panameña</t>
  </si>
  <si>
    <t>Ocean Uvero Alto</t>
  </si>
  <si>
    <t>Inversiones Arzhola, S.A.</t>
  </si>
  <si>
    <t>Española/dominicana</t>
  </si>
  <si>
    <t>27 de octubre</t>
  </si>
  <si>
    <t>Hacienda Samaná Bay, Nature, Health y Sport</t>
  </si>
  <si>
    <t>INDEBAY, SRL.</t>
  </si>
  <si>
    <t>Navío Lodging Hause</t>
  </si>
  <si>
    <t>ARCANA, SRL.</t>
  </si>
  <si>
    <t>Mexicana/dominicana</t>
  </si>
  <si>
    <t>Villa Palmera Ocean Front</t>
  </si>
  <si>
    <t>VP Caribbean Ocean Front, SRL.</t>
  </si>
  <si>
    <t>LV Golf Condos, SRL.</t>
  </si>
  <si>
    <t>El Saman Inn Las Terrenas</t>
  </si>
  <si>
    <t>El Saman Inn Las Terrenas, SRL.</t>
  </si>
  <si>
    <t>Hostales de Montaña</t>
  </si>
  <si>
    <t>Hostales de Montaña FJ, SRL.</t>
  </si>
  <si>
    <t>Inmibiliario-turistico-cabañas</t>
  </si>
  <si>
    <t>Dominicana/mexicana</t>
  </si>
  <si>
    <t>Dominicana/española</t>
  </si>
  <si>
    <t>16 de noviembre</t>
  </si>
  <si>
    <t>Juanillo Beach Condo Hotel 1</t>
  </si>
  <si>
    <t>MGC TOWERS, SRL.</t>
  </si>
  <si>
    <t>Juanillo Beach Condo Hotel 2</t>
  </si>
  <si>
    <t>Proyecto Village, SRL</t>
  </si>
  <si>
    <t>Juanillo Beach Condo Hotel 3</t>
  </si>
  <si>
    <t>Village Inv. y Development VID,SRL.</t>
  </si>
  <si>
    <t>Juanillo Beach Condo Hotel 4</t>
  </si>
  <si>
    <t>Village Shore Project Vispro, SRL.</t>
  </si>
  <si>
    <t>Juanillo Beach Condo Hotel 5</t>
  </si>
  <si>
    <t>Clubville LR, SRL.</t>
  </si>
  <si>
    <t>Juanillo Beach Condo Hotel 6</t>
  </si>
  <si>
    <t>Paseo Verde Development PVD, SRL.</t>
  </si>
  <si>
    <t>Paseos Comerciales Juanillo Beach</t>
  </si>
  <si>
    <t>Desarrollo Villega, SRL</t>
  </si>
  <si>
    <t>Hotel Four Season Tropicalia</t>
  </si>
  <si>
    <t>Inversiones Cuatro Estaciones, SAS</t>
  </si>
  <si>
    <t>USA/dominicana</t>
  </si>
  <si>
    <t>Blue Mall Punta Cana (Modificación de Res.Definitiva)</t>
  </si>
  <si>
    <t>Nottingham Investments, SAS</t>
  </si>
  <si>
    <t>Dominico/venezolana</t>
  </si>
  <si>
    <t>Hotel Conde de Peñalba</t>
  </si>
  <si>
    <t>Aybar Borrejo, SRL.</t>
  </si>
  <si>
    <t>Definitiva</t>
  </si>
  <si>
    <t>Fecha: 16/11/2016.</t>
  </si>
  <si>
    <t>15 de diciembre</t>
  </si>
  <si>
    <t>Cana Rock</t>
  </si>
  <si>
    <t>Inversiones 40-20-40, SRL</t>
  </si>
  <si>
    <t>Residencial Taina South Beach</t>
  </si>
  <si>
    <t>Inversora JD Internacional, SRL.</t>
  </si>
  <si>
    <t>Hard Rock Live</t>
  </si>
  <si>
    <t>Chestnut Corporation, SRL.</t>
  </si>
  <si>
    <t>Austriaca</t>
  </si>
  <si>
    <t>Remodelacion Hotel Exellence Punta Cana</t>
  </si>
  <si>
    <t>Inversiones El Laurel, SRL.</t>
  </si>
  <si>
    <t>Proyecto Lakeview</t>
  </si>
  <si>
    <t>Marina Puerto Bonito, SA.</t>
  </si>
  <si>
    <t>Aparta-Hotel</t>
  </si>
  <si>
    <t>La  Altagracia</t>
  </si>
  <si>
    <t>Proyecto Cayena Golf (fase 1)</t>
  </si>
  <si>
    <t>Cayena Golf, Inc.</t>
  </si>
  <si>
    <t>Fecha: 19/12/16.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</si>
</sst>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_-* #,##0.0\ _€_-;\-* #,##0.0\ _€_-;_-* &quot;-&quot;?\ _€_-;_-@_-"/>
    <numFmt numFmtId="168" formatCode="_-* #,##0.0_-;\-* #,##0.0_-;_-* &quot;-&quot;?_-;_-@_-"/>
  </numFmts>
  <fonts count="10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i/>
      <u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3" borderId="0" xfId="0" applyFill="1"/>
    <xf numFmtId="0" fontId="4" fillId="3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164" fontId="5" fillId="3" borderId="0" xfId="1" applyFont="1" applyFill="1"/>
    <xf numFmtId="164" fontId="5" fillId="3" borderId="0" xfId="1" applyFont="1" applyFill="1" applyBorder="1"/>
    <xf numFmtId="165" fontId="5" fillId="3" borderId="0" xfId="1" applyNumberFormat="1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164" fontId="3" fillId="0" borderId="0" xfId="1" applyFont="1"/>
    <xf numFmtId="0" fontId="3" fillId="0" borderId="0" xfId="0" applyFont="1" applyAlignment="1">
      <alignment horizontal="center"/>
    </xf>
    <xf numFmtId="165" fontId="5" fillId="3" borderId="0" xfId="1" applyNumberFormat="1" applyFont="1" applyFill="1" applyAlignment="1">
      <alignment horizontal="righ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/>
    <xf numFmtId="164" fontId="8" fillId="0" borderId="9" xfId="0" applyNumberFormat="1" applyFont="1" applyBorder="1"/>
    <xf numFmtId="165" fontId="8" fillId="0" borderId="9" xfId="0" applyNumberFormat="1" applyFont="1" applyBorder="1"/>
    <xf numFmtId="0" fontId="0" fillId="0" borderId="9" xfId="0" applyBorder="1"/>
    <xf numFmtId="0" fontId="0" fillId="0" borderId="10" xfId="0" applyBorder="1"/>
    <xf numFmtId="0" fontId="6" fillId="2" borderId="4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 applyAlignmen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166" fontId="0" fillId="0" borderId="0" xfId="1" applyNumberFormat="1" applyFont="1"/>
    <xf numFmtId="166" fontId="0" fillId="0" borderId="0" xfId="0" applyNumberForma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6" fillId="0" borderId="0" xfId="1" applyNumberFormat="1" applyFont="1" applyBorder="1" applyAlignment="1">
      <alignment horizontal="center"/>
    </xf>
    <xf numFmtId="166" fontId="8" fillId="0" borderId="9" xfId="1" applyNumberFormat="1" applyFont="1" applyBorder="1" applyAlignment="1">
      <alignment horizontal="center"/>
    </xf>
    <xf numFmtId="165" fontId="8" fillId="0" borderId="9" xfId="0" applyNumberFormat="1" applyFont="1" applyBorder="1" applyAlignment="1">
      <alignment horizontal="center"/>
    </xf>
    <xf numFmtId="166" fontId="8" fillId="0" borderId="10" xfId="1" applyNumberFormat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67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9" fontId="8" fillId="2" borderId="6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166" fontId="6" fillId="0" borderId="0" xfId="0" applyNumberFormat="1" applyFont="1" applyBorder="1" applyAlignment="1"/>
    <xf numFmtId="166" fontId="5" fillId="0" borderId="0" xfId="1" applyNumberFormat="1" applyFont="1"/>
    <xf numFmtId="166" fontId="5" fillId="0" borderId="0" xfId="1" applyNumberFormat="1" applyFont="1" applyAlignment="1"/>
    <xf numFmtId="0" fontId="5" fillId="3" borderId="8" xfId="0" applyFont="1" applyFill="1" applyBorder="1" applyAlignment="1">
      <alignment horizontal="center"/>
    </xf>
    <xf numFmtId="166" fontId="8" fillId="0" borderId="9" xfId="1" applyNumberFormat="1" applyFont="1" applyBorder="1"/>
    <xf numFmtId="166" fontId="8" fillId="0" borderId="10" xfId="0" applyNumberFormat="1" applyFont="1" applyBorder="1" applyAlignment="1"/>
    <xf numFmtId="0" fontId="8" fillId="0" borderId="0" xfId="0" applyFont="1" applyAlignment="1">
      <alignment horizontal="center"/>
    </xf>
    <xf numFmtId="0" fontId="8" fillId="2" borderId="4" xfId="0" applyFont="1" applyFill="1" applyBorder="1"/>
    <xf numFmtId="0" fontId="8" fillId="2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6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0" fontId="8" fillId="0" borderId="12" xfId="0" applyFont="1" applyBorder="1" applyAlignment="1">
      <alignment horizontal="center"/>
    </xf>
    <xf numFmtId="0" fontId="8" fillId="0" borderId="8" xfId="0" applyFont="1" applyBorder="1"/>
    <xf numFmtId="164" fontId="8" fillId="0" borderId="9" xfId="1" applyFont="1" applyBorder="1" applyAlignment="1">
      <alignment horizontal="center"/>
    </xf>
    <xf numFmtId="165" fontId="8" fillId="0" borderId="9" xfId="1" applyNumberFormat="1" applyFont="1" applyBorder="1" applyAlignment="1">
      <alignment horizontal="center"/>
    </xf>
    <xf numFmtId="164" fontId="8" fillId="0" borderId="10" xfId="1" applyFont="1" applyBorder="1" applyAlignment="1">
      <alignment horizontal="center"/>
    </xf>
    <xf numFmtId="165" fontId="0" fillId="0" borderId="0" xfId="1" applyNumberFormat="1" applyFont="1" applyAlignment="1">
      <alignment vertical="center"/>
    </xf>
    <xf numFmtId="3" fontId="0" fillId="0" borderId="0" xfId="1" applyNumberFormat="1" applyFont="1" applyAlignment="1">
      <alignment horizontal="center" vertical="center"/>
    </xf>
    <xf numFmtId="3" fontId="8" fillId="0" borderId="12" xfId="1" applyNumberFormat="1" applyFont="1" applyBorder="1" applyAlignment="1">
      <alignment horizontal="center" vertical="center"/>
    </xf>
    <xf numFmtId="164" fontId="0" fillId="0" borderId="0" xfId="1" applyFont="1"/>
    <xf numFmtId="0" fontId="3" fillId="0" borderId="0" xfId="0" applyFont="1" applyAlignment="1">
      <alignment horizontal="left"/>
    </xf>
    <xf numFmtId="165" fontId="3" fillId="0" borderId="0" xfId="1" applyNumberFormat="1" applyFont="1"/>
    <xf numFmtId="0" fontId="0" fillId="0" borderId="0" xfId="0" applyAlignment="1">
      <alignment horizontal="center"/>
    </xf>
    <xf numFmtId="168" fontId="0" fillId="0" borderId="0" xfId="0" applyNumberFormat="1"/>
    <xf numFmtId="165" fontId="3" fillId="0" borderId="0" xfId="1" applyNumberFormat="1" applyFont="1" applyAlignment="1">
      <alignment horizontal="center"/>
    </xf>
    <xf numFmtId="43" fontId="0" fillId="0" borderId="0" xfId="0" applyNumberFormat="1"/>
    <xf numFmtId="0" fontId="3" fillId="3" borderId="0" xfId="0" applyFont="1" applyFill="1"/>
    <xf numFmtId="0" fontId="6" fillId="3" borderId="0" xfId="0" applyFont="1" applyFill="1" applyAlignment="1">
      <alignment horizontal="justify" wrapText="1"/>
    </xf>
    <xf numFmtId="164" fontId="5" fillId="0" borderId="0" xfId="1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4"/>
  <sheetViews>
    <sheetView tabSelected="1" topLeftCell="A88" workbookViewId="0">
      <selection activeCell="D113" sqref="D113"/>
    </sheetView>
  </sheetViews>
  <sheetFormatPr defaultRowHeight="12.75" x14ac:dyDescent="0.2"/>
  <cols>
    <col min="2" max="2" width="16.42578125" bestFit="1" customWidth="1"/>
    <col min="3" max="3" width="37.28515625" bestFit="1" customWidth="1"/>
    <col min="4" max="4" width="34.140625" customWidth="1"/>
    <col min="5" max="5" width="18.85546875" bestFit="1" customWidth="1"/>
    <col min="6" max="6" width="4.140625" customWidth="1"/>
    <col min="8" max="8" width="20.28515625" bestFit="1" customWidth="1"/>
    <col min="9" max="9" width="24" bestFit="1" customWidth="1"/>
    <col min="10" max="10" width="26.140625" bestFit="1" customWidth="1"/>
    <col min="11" max="11" width="15.42578125" bestFit="1" customWidth="1"/>
  </cols>
  <sheetData>
    <row r="1" spans="2:11" ht="15.75" x14ac:dyDescent="0.25">
      <c r="B1" s="103" t="s">
        <v>0</v>
      </c>
      <c r="C1" s="103"/>
      <c r="D1" s="103"/>
      <c r="E1" s="103"/>
      <c r="F1" s="103"/>
      <c r="G1" s="103"/>
      <c r="H1" s="103"/>
      <c r="I1" s="103"/>
      <c r="J1" s="103"/>
      <c r="K1" s="103"/>
    </row>
    <row r="2" spans="2:11" ht="15.75" x14ac:dyDescent="0.25">
      <c r="B2" s="103" t="s">
        <v>1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2:11" ht="15" x14ac:dyDescent="0.2">
      <c r="B3" s="1"/>
      <c r="C3" s="1"/>
      <c r="D3" s="1"/>
      <c r="E3" s="1"/>
      <c r="F3" s="1"/>
      <c r="G3" s="1"/>
      <c r="H3" s="1"/>
      <c r="I3" s="1"/>
      <c r="J3" s="1"/>
    </row>
    <row r="4" spans="2:11" ht="15.75" x14ac:dyDescent="0.25">
      <c r="B4" s="103" t="s">
        <v>2</v>
      </c>
      <c r="C4" s="103"/>
      <c r="D4" s="103"/>
      <c r="E4" s="103"/>
      <c r="F4" s="103"/>
      <c r="G4" s="103"/>
      <c r="H4" s="103"/>
      <c r="I4" s="103"/>
      <c r="J4" s="103"/>
      <c r="K4" s="103"/>
    </row>
    <row r="5" spans="2:11" ht="15.75" thickBot="1" x14ac:dyDescent="0.25">
      <c r="B5" s="1"/>
      <c r="C5" s="1"/>
      <c r="D5" s="1"/>
      <c r="E5" s="1"/>
      <c r="F5" s="1"/>
      <c r="G5" s="1"/>
      <c r="H5" s="1"/>
      <c r="I5" s="1"/>
      <c r="J5" s="1"/>
    </row>
    <row r="6" spans="2:11" ht="15.75" x14ac:dyDescent="0.25">
      <c r="B6" s="2" t="s">
        <v>3</v>
      </c>
      <c r="C6" s="3" t="s">
        <v>4</v>
      </c>
      <c r="D6" s="3" t="s">
        <v>5</v>
      </c>
      <c r="E6" s="3" t="s">
        <v>6</v>
      </c>
      <c r="F6" s="3"/>
      <c r="G6" s="3" t="s">
        <v>3</v>
      </c>
      <c r="H6" s="3" t="s">
        <v>7</v>
      </c>
      <c r="I6" s="3"/>
      <c r="J6" s="4" t="s">
        <v>8</v>
      </c>
      <c r="K6" s="5"/>
    </row>
    <row r="7" spans="2:11" ht="16.5" thickBot="1" x14ac:dyDescent="0.3">
      <c r="B7" s="6" t="s">
        <v>9</v>
      </c>
      <c r="C7" s="7" t="s">
        <v>10</v>
      </c>
      <c r="D7" s="7" t="s">
        <v>11</v>
      </c>
      <c r="E7" s="7" t="s">
        <v>12</v>
      </c>
      <c r="F7" s="7"/>
      <c r="G7" s="7" t="s">
        <v>13</v>
      </c>
      <c r="H7" s="7" t="s">
        <v>14</v>
      </c>
      <c r="I7" s="7" t="s">
        <v>15</v>
      </c>
      <c r="J7" s="8" t="s">
        <v>6</v>
      </c>
      <c r="K7" s="8" t="s">
        <v>16</v>
      </c>
    </row>
    <row r="8" spans="2:11" ht="15.75" x14ac:dyDescent="0.25">
      <c r="B8" s="9"/>
      <c r="C8" s="9"/>
      <c r="D8" s="9"/>
      <c r="E8" s="9"/>
      <c r="F8" s="9"/>
      <c r="G8" s="9"/>
      <c r="H8" s="9"/>
      <c r="I8" s="9"/>
      <c r="J8" s="9"/>
      <c r="K8" s="10"/>
    </row>
    <row r="9" spans="2:11" ht="15.75" x14ac:dyDescent="0.25">
      <c r="B9" s="11" t="s">
        <v>17</v>
      </c>
      <c r="C9" s="9"/>
      <c r="D9" s="9"/>
      <c r="E9" s="12"/>
      <c r="F9" s="12"/>
      <c r="G9" s="12"/>
      <c r="H9" s="12"/>
      <c r="I9" s="12"/>
      <c r="J9" s="12"/>
    </row>
    <row r="10" spans="2:11" ht="14.25" x14ac:dyDescent="0.2">
      <c r="B10" s="13">
        <v>1</v>
      </c>
      <c r="C10" s="14" t="s">
        <v>18</v>
      </c>
      <c r="D10" s="14" t="s">
        <v>19</v>
      </c>
      <c r="E10" s="15"/>
      <c r="F10" s="16"/>
      <c r="G10" s="17"/>
      <c r="H10" s="13" t="s">
        <v>20</v>
      </c>
      <c r="I10" s="13" t="s">
        <v>21</v>
      </c>
      <c r="J10" s="13" t="s">
        <v>22</v>
      </c>
      <c r="K10" s="13" t="s">
        <v>23</v>
      </c>
    </row>
    <row r="11" spans="2:11" ht="14.25" x14ac:dyDescent="0.2">
      <c r="B11" s="13">
        <v>2</v>
      </c>
      <c r="C11" s="14" t="s">
        <v>24</v>
      </c>
      <c r="D11" s="14" t="s">
        <v>25</v>
      </c>
      <c r="E11" s="15">
        <v>7210830</v>
      </c>
      <c r="F11" s="16"/>
      <c r="G11" s="17">
        <v>76</v>
      </c>
      <c r="H11" s="13" t="s">
        <v>26</v>
      </c>
      <c r="I11" s="13" t="s">
        <v>21</v>
      </c>
      <c r="J11" s="13" t="s">
        <v>39</v>
      </c>
      <c r="K11" s="13" t="s">
        <v>23</v>
      </c>
    </row>
    <row r="12" spans="2:11" ht="15" x14ac:dyDescent="0.2">
      <c r="B12" s="19">
        <v>3</v>
      </c>
      <c r="C12" s="99" t="s">
        <v>27</v>
      </c>
      <c r="D12" s="1" t="s">
        <v>28</v>
      </c>
      <c r="E12" s="20">
        <v>10942519.699999999</v>
      </c>
      <c r="F12" s="1"/>
      <c r="G12" s="1">
        <v>196</v>
      </c>
      <c r="H12" s="21" t="s">
        <v>29</v>
      </c>
      <c r="I12" s="21" t="s">
        <v>30</v>
      </c>
      <c r="J12" s="21" t="s">
        <v>22</v>
      </c>
      <c r="K12" s="21" t="s">
        <v>31</v>
      </c>
    </row>
    <row r="13" spans="2:11" ht="15" x14ac:dyDescent="0.2">
      <c r="B13" s="19">
        <v>4</v>
      </c>
      <c r="C13" s="99" t="s">
        <v>32</v>
      </c>
      <c r="D13" s="1" t="s">
        <v>33</v>
      </c>
      <c r="E13" s="20">
        <v>43981318.68</v>
      </c>
      <c r="F13" s="1"/>
      <c r="G13" s="1">
        <v>210</v>
      </c>
      <c r="H13" s="21" t="s">
        <v>34</v>
      </c>
      <c r="I13" s="21" t="s">
        <v>35</v>
      </c>
      <c r="J13" s="21" t="s">
        <v>36</v>
      </c>
      <c r="K13" s="21" t="s">
        <v>31</v>
      </c>
    </row>
    <row r="14" spans="2:11" ht="15" x14ac:dyDescent="0.2">
      <c r="B14" s="19">
        <v>5</v>
      </c>
      <c r="C14" s="99" t="s">
        <v>37</v>
      </c>
      <c r="D14" s="1" t="s">
        <v>38</v>
      </c>
      <c r="E14" s="20">
        <v>5800000</v>
      </c>
      <c r="F14" s="1"/>
      <c r="G14" s="1">
        <v>62</v>
      </c>
      <c r="H14" s="21" t="s">
        <v>34</v>
      </c>
      <c r="I14" s="21" t="s">
        <v>30</v>
      </c>
      <c r="J14" s="21" t="s">
        <v>39</v>
      </c>
      <c r="K14" s="21" t="s">
        <v>31</v>
      </c>
    </row>
    <row r="15" spans="2:11" ht="14.25" x14ac:dyDescent="0.2">
      <c r="B15" s="13"/>
      <c r="C15" s="14"/>
      <c r="D15" s="14"/>
      <c r="E15" s="15"/>
      <c r="F15" s="15"/>
      <c r="G15" s="22"/>
      <c r="H15" s="13"/>
      <c r="I15" s="13"/>
      <c r="J15" s="13"/>
    </row>
    <row r="16" spans="2:11" ht="14.25" x14ac:dyDescent="0.2">
      <c r="B16" s="11" t="s">
        <v>40</v>
      </c>
      <c r="C16" s="14"/>
      <c r="D16" s="14"/>
      <c r="E16" s="15"/>
      <c r="F16" s="15"/>
      <c r="G16" s="17"/>
      <c r="H16" s="13"/>
      <c r="I16" s="13"/>
      <c r="J16" s="13"/>
    </row>
    <row r="17" spans="2:11" ht="14.25" x14ac:dyDescent="0.2">
      <c r="B17" s="13">
        <v>1</v>
      </c>
      <c r="C17" s="14" t="s">
        <v>41</v>
      </c>
      <c r="D17" s="14" t="s">
        <v>42</v>
      </c>
      <c r="E17" s="15"/>
      <c r="F17" s="16"/>
      <c r="G17" s="17"/>
      <c r="H17" s="13" t="s">
        <v>43</v>
      </c>
      <c r="I17" s="13" t="s">
        <v>44</v>
      </c>
      <c r="J17" s="13" t="s">
        <v>45</v>
      </c>
      <c r="K17" s="13" t="s">
        <v>23</v>
      </c>
    </row>
    <row r="18" spans="2:11" ht="14.25" x14ac:dyDescent="0.2">
      <c r="B18" s="13">
        <v>2</v>
      </c>
      <c r="C18" s="14" t="s">
        <v>46</v>
      </c>
      <c r="D18" s="14" t="s">
        <v>47</v>
      </c>
      <c r="E18" s="15">
        <v>6000000</v>
      </c>
      <c r="F18" s="16"/>
      <c r="G18" s="17">
        <v>0</v>
      </c>
      <c r="H18" s="13" t="s">
        <v>48</v>
      </c>
      <c r="I18" s="13" t="s">
        <v>30</v>
      </c>
      <c r="J18" s="13" t="s">
        <v>49</v>
      </c>
      <c r="K18" s="13" t="s">
        <v>23</v>
      </c>
    </row>
    <row r="19" spans="2:11" ht="15" x14ac:dyDescent="0.2">
      <c r="B19" s="13">
        <v>3</v>
      </c>
      <c r="C19" s="99" t="s">
        <v>50</v>
      </c>
      <c r="D19" s="1" t="s">
        <v>51</v>
      </c>
      <c r="E19" s="20">
        <f>100261125/45.5</f>
        <v>2203541.2087912089</v>
      </c>
      <c r="F19" s="1"/>
      <c r="G19" s="1">
        <v>0</v>
      </c>
      <c r="H19" s="21" t="s">
        <v>52</v>
      </c>
      <c r="I19" s="21" t="s">
        <v>30</v>
      </c>
      <c r="J19" s="21" t="s">
        <v>53</v>
      </c>
      <c r="K19" s="21" t="s">
        <v>31</v>
      </c>
    </row>
    <row r="20" spans="2:11" ht="15" x14ac:dyDescent="0.2">
      <c r="B20" s="13">
        <v>4</v>
      </c>
      <c r="C20" s="99" t="s">
        <v>54</v>
      </c>
      <c r="D20" s="1" t="s">
        <v>55</v>
      </c>
      <c r="E20" s="20">
        <f>264379005/45.5</f>
        <v>5810527.5824175822</v>
      </c>
      <c r="F20" s="1"/>
      <c r="G20" s="1">
        <v>190</v>
      </c>
      <c r="H20" s="21" t="s">
        <v>29</v>
      </c>
      <c r="I20" s="21" t="s">
        <v>56</v>
      </c>
      <c r="J20" s="21" t="s">
        <v>57</v>
      </c>
      <c r="K20" s="21" t="s">
        <v>31</v>
      </c>
    </row>
    <row r="21" spans="2:11" ht="15" x14ac:dyDescent="0.2">
      <c r="B21" s="13">
        <v>5</v>
      </c>
      <c r="C21" s="99" t="s">
        <v>58</v>
      </c>
      <c r="D21" s="1" t="s">
        <v>59</v>
      </c>
      <c r="E21" s="20">
        <v>186110281.0716483</v>
      </c>
      <c r="F21" s="1"/>
      <c r="G21" s="1">
        <v>0</v>
      </c>
      <c r="H21" s="21" t="s">
        <v>60</v>
      </c>
      <c r="I21" s="21" t="s">
        <v>44</v>
      </c>
      <c r="J21" s="21" t="s">
        <v>39</v>
      </c>
      <c r="K21" s="21" t="s">
        <v>31</v>
      </c>
    </row>
    <row r="22" spans="2:11" ht="15" x14ac:dyDescent="0.2">
      <c r="B22" s="13">
        <v>6</v>
      </c>
      <c r="C22" s="99" t="s">
        <v>61</v>
      </c>
      <c r="D22" s="1" t="s">
        <v>62</v>
      </c>
      <c r="E22" s="20">
        <f>380221498.8/45.5</f>
        <v>8356516.4571428578</v>
      </c>
      <c r="F22" s="1"/>
      <c r="G22" s="1">
        <v>0</v>
      </c>
      <c r="H22" s="21" t="s">
        <v>52</v>
      </c>
      <c r="I22" s="21" t="s">
        <v>21</v>
      </c>
      <c r="J22" s="21" t="s">
        <v>63</v>
      </c>
      <c r="K22" s="21" t="s">
        <v>31</v>
      </c>
    </row>
    <row r="23" spans="2:11" ht="15" x14ac:dyDescent="0.2">
      <c r="B23" s="13"/>
      <c r="C23" s="99"/>
      <c r="D23" s="1"/>
      <c r="E23" s="20"/>
      <c r="F23" s="1"/>
      <c r="G23" s="1"/>
      <c r="H23" s="21"/>
      <c r="I23" s="21"/>
      <c r="J23" s="21"/>
    </row>
    <row r="24" spans="2:11" ht="14.25" x14ac:dyDescent="0.2">
      <c r="B24" s="11" t="s">
        <v>64</v>
      </c>
      <c r="C24" s="14"/>
      <c r="D24" s="14"/>
      <c r="E24" s="15"/>
      <c r="F24" s="16"/>
      <c r="G24" s="17"/>
      <c r="H24" s="13"/>
      <c r="I24" s="13"/>
      <c r="J24" s="13"/>
    </row>
    <row r="25" spans="2:11" ht="15" x14ac:dyDescent="0.2">
      <c r="B25" s="19">
        <v>1</v>
      </c>
      <c r="C25" s="99" t="s">
        <v>65</v>
      </c>
      <c r="D25" s="1" t="s">
        <v>66</v>
      </c>
      <c r="E25" s="20">
        <v>30000000</v>
      </c>
      <c r="F25" s="1"/>
      <c r="G25" s="1">
        <v>0</v>
      </c>
      <c r="H25" s="21" t="s">
        <v>67</v>
      </c>
      <c r="I25" s="21" t="s">
        <v>21</v>
      </c>
      <c r="J25" s="21" t="s">
        <v>39</v>
      </c>
      <c r="K25" s="13" t="s">
        <v>23</v>
      </c>
    </row>
    <row r="26" spans="2:11" ht="51" x14ac:dyDescent="0.2">
      <c r="B26" s="23">
        <v>2</v>
      </c>
      <c r="C26" s="100" t="s">
        <v>68</v>
      </c>
      <c r="D26" s="24" t="s">
        <v>69</v>
      </c>
      <c r="E26" s="25">
        <v>1607472.52</v>
      </c>
      <c r="F26" s="26"/>
      <c r="G26" s="27">
        <v>0</v>
      </c>
      <c r="H26" s="28" t="s">
        <v>67</v>
      </c>
      <c r="I26" s="28" t="s">
        <v>30</v>
      </c>
      <c r="J26" s="28" t="s">
        <v>39</v>
      </c>
      <c r="K26" s="28" t="s">
        <v>31</v>
      </c>
    </row>
    <row r="27" spans="2:11" ht="18" x14ac:dyDescent="0.2">
      <c r="B27" s="23"/>
      <c r="C27" s="100"/>
      <c r="D27" s="24"/>
      <c r="E27" s="25"/>
      <c r="F27" s="26"/>
      <c r="G27" s="27"/>
      <c r="H27" s="28"/>
      <c r="I27" s="28"/>
      <c r="J27" s="28"/>
      <c r="K27" s="28"/>
    </row>
    <row r="28" spans="2:11" ht="18" x14ac:dyDescent="0.2">
      <c r="B28" s="11" t="s">
        <v>70</v>
      </c>
      <c r="C28" s="100"/>
      <c r="D28" s="24"/>
      <c r="E28" s="25"/>
      <c r="F28" s="26"/>
      <c r="G28" s="27"/>
      <c r="H28" s="28"/>
      <c r="I28" s="28"/>
      <c r="J28" s="28"/>
    </row>
    <row r="29" spans="2:11" ht="15" x14ac:dyDescent="0.2">
      <c r="B29" s="23">
        <v>1</v>
      </c>
      <c r="C29" s="99" t="s">
        <v>71</v>
      </c>
      <c r="D29" s="1" t="s">
        <v>72</v>
      </c>
      <c r="E29" s="20"/>
      <c r="F29" s="1"/>
      <c r="G29" s="1"/>
      <c r="H29" s="21" t="s">
        <v>73</v>
      </c>
      <c r="I29" s="21" t="s">
        <v>21</v>
      </c>
      <c r="J29" s="21" t="s">
        <v>74</v>
      </c>
      <c r="K29" s="13" t="s">
        <v>23</v>
      </c>
    </row>
    <row r="30" spans="2:11" ht="15" x14ac:dyDescent="0.2">
      <c r="B30" s="23">
        <v>2</v>
      </c>
      <c r="C30" s="99" t="s">
        <v>75</v>
      </c>
      <c r="D30" s="1" t="s">
        <v>76</v>
      </c>
      <c r="E30" s="20"/>
      <c r="F30" s="1"/>
      <c r="G30" s="1"/>
      <c r="H30" s="21" t="s">
        <v>73</v>
      </c>
      <c r="I30" s="21" t="s">
        <v>77</v>
      </c>
      <c r="J30" s="21" t="s">
        <v>39</v>
      </c>
      <c r="K30" s="13" t="s">
        <v>23</v>
      </c>
    </row>
    <row r="31" spans="2:11" ht="15" x14ac:dyDescent="0.2">
      <c r="B31" s="23">
        <v>3</v>
      </c>
      <c r="C31" s="99" t="s">
        <v>78</v>
      </c>
      <c r="D31" s="1" t="s">
        <v>79</v>
      </c>
      <c r="E31" s="20"/>
      <c r="F31" s="1"/>
      <c r="G31" s="1"/>
      <c r="H31" s="21" t="s">
        <v>73</v>
      </c>
      <c r="I31" s="21" t="s">
        <v>80</v>
      </c>
      <c r="J31" s="21" t="s">
        <v>81</v>
      </c>
      <c r="K31" s="13" t="s">
        <v>23</v>
      </c>
    </row>
    <row r="32" spans="2:11" ht="15" x14ac:dyDescent="0.2">
      <c r="B32" s="23">
        <v>4</v>
      </c>
      <c r="C32" s="14" t="s">
        <v>82</v>
      </c>
      <c r="D32" s="14" t="s">
        <v>83</v>
      </c>
      <c r="E32" s="15">
        <v>4072803.05</v>
      </c>
      <c r="F32" s="16"/>
      <c r="G32" s="17">
        <v>220</v>
      </c>
      <c r="H32" s="13" t="s">
        <v>34</v>
      </c>
      <c r="I32" s="13" t="s">
        <v>21</v>
      </c>
      <c r="J32" s="13" t="s">
        <v>39</v>
      </c>
      <c r="K32" s="21" t="s">
        <v>31</v>
      </c>
    </row>
    <row r="33" spans="2:11" ht="15" x14ac:dyDescent="0.2">
      <c r="B33" s="23">
        <v>5</v>
      </c>
      <c r="C33" s="14" t="s">
        <v>84</v>
      </c>
      <c r="D33" s="14" t="s">
        <v>85</v>
      </c>
      <c r="E33" s="15">
        <v>2517017.14</v>
      </c>
      <c r="F33" s="16"/>
      <c r="G33" s="17">
        <v>45</v>
      </c>
      <c r="H33" s="13" t="s">
        <v>34</v>
      </c>
      <c r="I33" s="13" t="s">
        <v>86</v>
      </c>
      <c r="J33" s="13" t="s">
        <v>87</v>
      </c>
      <c r="K33" s="21" t="s">
        <v>31</v>
      </c>
    </row>
    <row r="34" spans="2:11" ht="15" x14ac:dyDescent="0.2">
      <c r="B34" s="23">
        <v>6</v>
      </c>
      <c r="C34" s="14" t="s">
        <v>88</v>
      </c>
      <c r="D34" s="14" t="s">
        <v>89</v>
      </c>
      <c r="E34" s="15">
        <v>2581892.02</v>
      </c>
      <c r="F34" s="16"/>
      <c r="G34" s="17">
        <v>0</v>
      </c>
      <c r="H34" s="13" t="s">
        <v>48</v>
      </c>
      <c r="I34" s="13" t="s">
        <v>90</v>
      </c>
      <c r="J34" s="13" t="s">
        <v>39</v>
      </c>
      <c r="K34" s="21" t="s">
        <v>31</v>
      </c>
    </row>
    <row r="35" spans="2:11" ht="15" x14ac:dyDescent="0.2">
      <c r="B35" s="23"/>
      <c r="C35" s="14"/>
      <c r="D35" s="14"/>
      <c r="E35" s="15"/>
      <c r="F35" s="16"/>
      <c r="G35" s="17"/>
      <c r="H35" s="13"/>
      <c r="I35" s="13"/>
      <c r="J35" s="13"/>
      <c r="K35" s="21"/>
    </row>
    <row r="36" spans="2:11" ht="15" x14ac:dyDescent="0.2">
      <c r="B36" s="11" t="s">
        <v>118</v>
      </c>
      <c r="C36" s="14"/>
      <c r="D36" s="14"/>
      <c r="E36" s="15"/>
      <c r="F36" s="16"/>
      <c r="G36" s="17"/>
      <c r="H36" s="13"/>
      <c r="I36" s="13"/>
      <c r="J36" s="13"/>
      <c r="K36" s="21"/>
    </row>
    <row r="37" spans="2:11" ht="15" x14ac:dyDescent="0.2">
      <c r="B37" s="23">
        <v>1</v>
      </c>
      <c r="C37" s="14" t="s">
        <v>119</v>
      </c>
      <c r="D37" s="14" t="s">
        <v>120</v>
      </c>
      <c r="E37" s="15">
        <f>3300855646.49/45.5</f>
        <v>72546277.944835156</v>
      </c>
      <c r="F37" s="16"/>
      <c r="G37" s="17">
        <v>0</v>
      </c>
      <c r="H37" s="13" t="s">
        <v>29</v>
      </c>
      <c r="I37" s="13" t="s">
        <v>21</v>
      </c>
      <c r="J37" s="13" t="s">
        <v>121</v>
      </c>
      <c r="K37" s="21" t="s">
        <v>31</v>
      </c>
    </row>
    <row r="38" spans="2:11" ht="15" x14ac:dyDescent="0.2">
      <c r="B38" s="23">
        <v>2</v>
      </c>
      <c r="C38" s="14" t="s">
        <v>122</v>
      </c>
      <c r="D38" s="14" t="s">
        <v>123</v>
      </c>
      <c r="E38" s="15">
        <f>583912500/45.5</f>
        <v>12833241.758241758</v>
      </c>
      <c r="F38" s="16"/>
      <c r="G38" s="17">
        <v>138</v>
      </c>
      <c r="H38" s="13" t="s">
        <v>29</v>
      </c>
      <c r="I38" s="13" t="s">
        <v>21</v>
      </c>
      <c r="J38" s="13" t="s">
        <v>121</v>
      </c>
      <c r="K38" s="21" t="s">
        <v>31</v>
      </c>
    </row>
    <row r="39" spans="2:11" ht="15" x14ac:dyDescent="0.2">
      <c r="B39" s="23"/>
      <c r="C39" s="14"/>
      <c r="D39" s="14"/>
      <c r="E39" s="15"/>
      <c r="F39" s="16"/>
      <c r="G39" s="17"/>
      <c r="H39" s="13"/>
      <c r="I39" s="13"/>
      <c r="J39" s="13"/>
      <c r="K39" s="21"/>
    </row>
    <row r="40" spans="2:11" ht="15" x14ac:dyDescent="0.2">
      <c r="B40" s="11" t="s">
        <v>116</v>
      </c>
      <c r="C40" s="14"/>
      <c r="D40" s="14"/>
      <c r="E40" s="15"/>
      <c r="F40" s="16"/>
      <c r="G40" s="17"/>
      <c r="H40" s="13"/>
      <c r="I40" s="13"/>
      <c r="J40" s="13"/>
      <c r="K40" s="21"/>
    </row>
    <row r="41" spans="2:11" ht="15" x14ac:dyDescent="0.2">
      <c r="B41" s="23">
        <v>1</v>
      </c>
      <c r="C41" s="99" t="s">
        <v>124</v>
      </c>
      <c r="D41" s="1" t="s">
        <v>125</v>
      </c>
      <c r="E41" s="20">
        <v>16500000</v>
      </c>
      <c r="F41" s="1"/>
      <c r="G41" s="1">
        <v>228</v>
      </c>
      <c r="H41" s="21" t="s">
        <v>126</v>
      </c>
      <c r="I41" s="21" t="s">
        <v>77</v>
      </c>
      <c r="J41" s="21" t="s">
        <v>127</v>
      </c>
      <c r="K41" s="13" t="s">
        <v>23</v>
      </c>
    </row>
    <row r="42" spans="2:11" ht="15" x14ac:dyDescent="0.2">
      <c r="B42" s="23">
        <v>2</v>
      </c>
      <c r="C42" s="99" t="s">
        <v>128</v>
      </c>
      <c r="D42" s="1" t="s">
        <v>129</v>
      </c>
      <c r="E42" s="20"/>
      <c r="F42" s="1"/>
      <c r="G42" s="1"/>
      <c r="H42" s="21" t="s">
        <v>130</v>
      </c>
      <c r="I42" s="21" t="s">
        <v>21</v>
      </c>
      <c r="J42" s="21" t="s">
        <v>131</v>
      </c>
      <c r="K42" s="13" t="s">
        <v>23</v>
      </c>
    </row>
    <row r="43" spans="2:11" ht="15" x14ac:dyDescent="0.2">
      <c r="B43" s="23">
        <v>3</v>
      </c>
      <c r="C43" s="14" t="s">
        <v>132</v>
      </c>
      <c r="D43" s="14" t="s">
        <v>133</v>
      </c>
      <c r="E43" s="15">
        <f>2377485449.74/45.93</f>
        <v>51763236.441106029</v>
      </c>
      <c r="F43" s="16"/>
      <c r="G43" s="17">
        <v>0</v>
      </c>
      <c r="H43" s="13" t="s">
        <v>29</v>
      </c>
      <c r="I43" s="13" t="s">
        <v>30</v>
      </c>
      <c r="J43" s="13" t="s">
        <v>134</v>
      </c>
      <c r="K43" s="21" t="s">
        <v>31</v>
      </c>
    </row>
    <row r="44" spans="2:11" ht="15" x14ac:dyDescent="0.2">
      <c r="B44" s="23">
        <v>4</v>
      </c>
      <c r="C44" s="14" t="s">
        <v>135</v>
      </c>
      <c r="D44" s="14" t="s">
        <v>76</v>
      </c>
      <c r="E44" s="15">
        <f>535378690.08/45.93</f>
        <v>11656405.183540169</v>
      </c>
      <c r="F44" s="16"/>
      <c r="G44" s="17">
        <v>257</v>
      </c>
      <c r="H44" s="13" t="s">
        <v>34</v>
      </c>
      <c r="I44" s="13" t="s">
        <v>136</v>
      </c>
      <c r="J44" s="13" t="s">
        <v>39</v>
      </c>
      <c r="K44" s="21" t="s">
        <v>31</v>
      </c>
    </row>
    <row r="45" spans="2:11" ht="15" x14ac:dyDescent="0.2">
      <c r="B45" s="23">
        <v>5</v>
      </c>
      <c r="C45" s="14" t="s">
        <v>137</v>
      </c>
      <c r="D45" s="14" t="s">
        <v>138</v>
      </c>
      <c r="E45" s="15">
        <v>28568740.879999999</v>
      </c>
      <c r="F45" s="16"/>
      <c r="G45" s="17">
        <v>158</v>
      </c>
      <c r="H45" s="13" t="s">
        <v>34</v>
      </c>
      <c r="I45" s="13" t="s">
        <v>21</v>
      </c>
      <c r="J45" s="13" t="s">
        <v>139</v>
      </c>
      <c r="K45" s="21" t="s">
        <v>31</v>
      </c>
    </row>
    <row r="46" spans="2:11" ht="15" x14ac:dyDescent="0.2">
      <c r="B46" s="23"/>
      <c r="C46" s="14"/>
      <c r="D46" s="14"/>
      <c r="E46" s="15"/>
      <c r="F46" s="16"/>
      <c r="G46" s="17"/>
      <c r="H46" s="13"/>
      <c r="I46" s="13"/>
      <c r="J46" s="13"/>
      <c r="K46" s="21"/>
    </row>
    <row r="47" spans="2:11" ht="15" x14ac:dyDescent="0.2">
      <c r="B47" s="11" t="s">
        <v>117</v>
      </c>
      <c r="C47" s="14"/>
      <c r="D47" s="14"/>
      <c r="E47" s="15"/>
      <c r="F47" s="16"/>
      <c r="G47" s="17"/>
      <c r="H47" s="13"/>
      <c r="I47" s="13"/>
      <c r="J47" s="13"/>
      <c r="K47" s="21"/>
    </row>
    <row r="48" spans="2:11" ht="15" x14ac:dyDescent="0.2">
      <c r="B48" s="23">
        <v>1</v>
      </c>
      <c r="C48" s="99" t="s">
        <v>140</v>
      </c>
      <c r="D48" s="1" t="s">
        <v>141</v>
      </c>
      <c r="E48" s="20"/>
      <c r="F48" s="1"/>
      <c r="G48" s="21"/>
      <c r="H48" s="21" t="s">
        <v>142</v>
      </c>
      <c r="I48" s="21" t="s">
        <v>21</v>
      </c>
      <c r="J48" s="21" t="s">
        <v>74</v>
      </c>
      <c r="K48" s="13" t="s">
        <v>23</v>
      </c>
    </row>
    <row r="49" spans="2:11" ht="15" x14ac:dyDescent="0.2">
      <c r="B49" s="23">
        <v>2</v>
      </c>
      <c r="C49" s="99" t="s">
        <v>143</v>
      </c>
      <c r="D49" s="1" t="s">
        <v>144</v>
      </c>
      <c r="E49" s="20">
        <f>447231773/45.93</f>
        <v>9737247.3982146755</v>
      </c>
      <c r="F49" s="1"/>
      <c r="G49" s="21" t="s">
        <v>145</v>
      </c>
      <c r="H49" s="21" t="s">
        <v>146</v>
      </c>
      <c r="I49" s="21" t="s">
        <v>21</v>
      </c>
      <c r="J49" s="21" t="s">
        <v>22</v>
      </c>
      <c r="K49" s="13" t="s">
        <v>23</v>
      </c>
    </row>
    <row r="50" spans="2:11" ht="15" x14ac:dyDescent="0.2">
      <c r="B50" s="23">
        <v>3</v>
      </c>
      <c r="C50" s="99" t="s">
        <v>147</v>
      </c>
      <c r="D50" s="1" t="s">
        <v>148</v>
      </c>
      <c r="E50" s="20"/>
      <c r="F50" s="1"/>
      <c r="G50" s="94"/>
      <c r="H50" s="21" t="s">
        <v>34</v>
      </c>
      <c r="I50" s="21" t="s">
        <v>149</v>
      </c>
      <c r="J50" s="21" t="s">
        <v>39</v>
      </c>
      <c r="K50" s="13" t="s">
        <v>23</v>
      </c>
    </row>
    <row r="51" spans="2:11" ht="15" x14ac:dyDescent="0.2">
      <c r="B51" s="23">
        <v>4</v>
      </c>
      <c r="C51" s="14" t="s">
        <v>18</v>
      </c>
      <c r="D51" s="14" t="s">
        <v>150</v>
      </c>
      <c r="E51" s="15">
        <f>532678606.92/45.93</f>
        <v>11597618.265186153</v>
      </c>
      <c r="F51" s="16"/>
      <c r="G51" s="17">
        <v>156</v>
      </c>
      <c r="H51" s="13" t="s">
        <v>34</v>
      </c>
      <c r="I51" s="13" t="s">
        <v>21</v>
      </c>
      <c r="J51" s="13" t="s">
        <v>22</v>
      </c>
      <c r="K51" s="21" t="s">
        <v>31</v>
      </c>
    </row>
    <row r="52" spans="2:11" ht="15" x14ac:dyDescent="0.2">
      <c r="B52" s="23">
        <v>5</v>
      </c>
      <c r="C52" s="14" t="s">
        <v>151</v>
      </c>
      <c r="D52" s="14" t="s">
        <v>152</v>
      </c>
      <c r="E52" s="15">
        <f>408645102.5/45.93</f>
        <v>8897128.2930546477</v>
      </c>
      <c r="F52" s="16"/>
      <c r="G52" s="17">
        <v>123</v>
      </c>
      <c r="H52" s="13" t="s">
        <v>29</v>
      </c>
      <c r="I52" s="13" t="s">
        <v>30</v>
      </c>
      <c r="J52" s="13" t="s">
        <v>121</v>
      </c>
      <c r="K52" s="21" t="s">
        <v>31</v>
      </c>
    </row>
    <row r="53" spans="2:11" ht="15" x14ac:dyDescent="0.2">
      <c r="B53" s="23">
        <v>6</v>
      </c>
      <c r="C53" s="14" t="s">
        <v>153</v>
      </c>
      <c r="D53" s="14" t="s">
        <v>129</v>
      </c>
      <c r="E53" s="15">
        <f>603158063/45.93</f>
        <v>13132115.458306119</v>
      </c>
      <c r="F53" s="16"/>
      <c r="G53" s="17">
        <v>0</v>
      </c>
      <c r="H53" s="13" t="s">
        <v>130</v>
      </c>
      <c r="I53" s="13" t="s">
        <v>21</v>
      </c>
      <c r="J53" s="13" t="s">
        <v>154</v>
      </c>
      <c r="K53" s="21" t="s">
        <v>31</v>
      </c>
    </row>
    <row r="54" spans="2:11" ht="15" x14ac:dyDescent="0.2">
      <c r="B54" s="95">
        <v>7</v>
      </c>
      <c r="C54" s="14" t="s">
        <v>155</v>
      </c>
      <c r="D54" s="14" t="s">
        <v>156</v>
      </c>
      <c r="E54" s="15"/>
      <c r="F54" s="16"/>
      <c r="G54" s="17"/>
      <c r="H54" s="13" t="s">
        <v>34</v>
      </c>
      <c r="I54" s="13" t="s">
        <v>21</v>
      </c>
      <c r="J54" s="13" t="s">
        <v>139</v>
      </c>
      <c r="K54" s="21" t="s">
        <v>31</v>
      </c>
    </row>
    <row r="55" spans="2:11" ht="15" x14ac:dyDescent="0.2">
      <c r="B55" s="95"/>
      <c r="C55" s="14"/>
      <c r="D55" s="14"/>
      <c r="E55" s="15"/>
      <c r="F55" s="16"/>
      <c r="G55" s="17"/>
      <c r="H55" s="13"/>
      <c r="I55" s="13"/>
      <c r="J55" s="13"/>
      <c r="K55" s="21"/>
    </row>
    <row r="56" spans="2:11" ht="15" x14ac:dyDescent="0.2">
      <c r="B56" s="11" t="s">
        <v>159</v>
      </c>
      <c r="C56" s="14"/>
      <c r="D56" s="14"/>
      <c r="E56" s="15"/>
      <c r="F56" s="16"/>
      <c r="G56" s="17"/>
      <c r="H56" s="13"/>
      <c r="I56" s="13"/>
      <c r="J56" s="13"/>
      <c r="K56" s="21"/>
    </row>
    <row r="57" spans="2:11" ht="15" x14ac:dyDescent="0.2">
      <c r="B57" s="13">
        <v>1</v>
      </c>
      <c r="C57" s="99" t="s">
        <v>160</v>
      </c>
      <c r="D57" s="1" t="s">
        <v>161</v>
      </c>
      <c r="E57" s="20">
        <f>435492506/46</f>
        <v>9467228.3913043477</v>
      </c>
      <c r="F57" s="1"/>
      <c r="G57" s="97">
        <v>50</v>
      </c>
      <c r="H57" s="21" t="s">
        <v>29</v>
      </c>
      <c r="I57" s="21" t="s">
        <v>56</v>
      </c>
      <c r="J57" s="21" t="s">
        <v>139</v>
      </c>
      <c r="K57" s="21" t="s">
        <v>31</v>
      </c>
    </row>
    <row r="58" spans="2:11" ht="15" x14ac:dyDescent="0.2">
      <c r="B58" s="13">
        <v>2</v>
      </c>
      <c r="C58" s="99" t="s">
        <v>162</v>
      </c>
      <c r="D58" s="1" t="s">
        <v>163</v>
      </c>
      <c r="E58" s="20">
        <f>361758193.02/46</f>
        <v>7864308.5439130431</v>
      </c>
      <c r="F58" s="1"/>
      <c r="G58" s="97">
        <v>68</v>
      </c>
      <c r="H58" s="21" t="s">
        <v>34</v>
      </c>
      <c r="I58" s="21" t="s">
        <v>21</v>
      </c>
      <c r="J58" s="21" t="s">
        <v>74</v>
      </c>
      <c r="K58" s="21" t="s">
        <v>31</v>
      </c>
    </row>
    <row r="59" spans="2:11" ht="15" x14ac:dyDescent="0.2">
      <c r="B59" s="13">
        <v>3</v>
      </c>
      <c r="C59" s="99" t="s">
        <v>164</v>
      </c>
      <c r="D59" s="1" t="s">
        <v>165</v>
      </c>
      <c r="E59" s="20">
        <f>971167061.8/46</f>
        <v>21112327.430434782</v>
      </c>
      <c r="F59" s="1"/>
      <c r="G59" s="97">
        <v>100</v>
      </c>
      <c r="H59" s="21" t="s">
        <v>34</v>
      </c>
      <c r="I59" s="21" t="s">
        <v>21</v>
      </c>
      <c r="J59" s="21" t="s">
        <v>39</v>
      </c>
      <c r="K59" s="21" t="s">
        <v>31</v>
      </c>
    </row>
    <row r="60" spans="2:11" ht="15" x14ac:dyDescent="0.2">
      <c r="B60" s="13">
        <v>4</v>
      </c>
      <c r="C60" s="99" t="s">
        <v>166</v>
      </c>
      <c r="D60" s="1" t="s">
        <v>167</v>
      </c>
      <c r="E60" s="20">
        <f>5755100000/46</f>
        <v>125110869.56521739</v>
      </c>
      <c r="F60" s="1"/>
      <c r="G60" s="97">
        <v>500</v>
      </c>
      <c r="H60" s="21" t="s">
        <v>29</v>
      </c>
      <c r="I60" s="21" t="s">
        <v>21</v>
      </c>
      <c r="J60" s="21" t="s">
        <v>121</v>
      </c>
      <c r="K60" s="21" t="s">
        <v>31</v>
      </c>
    </row>
    <row r="61" spans="2:11" ht="15" x14ac:dyDescent="0.2">
      <c r="B61" s="95"/>
      <c r="C61" s="14"/>
      <c r="D61" s="14"/>
      <c r="E61" s="15"/>
      <c r="F61" s="16"/>
      <c r="G61" s="17"/>
      <c r="H61" s="13"/>
      <c r="I61" s="13"/>
      <c r="J61" s="13"/>
      <c r="K61" s="21"/>
    </row>
    <row r="62" spans="2:11" ht="15" x14ac:dyDescent="0.2">
      <c r="B62" s="11" t="s">
        <v>168</v>
      </c>
      <c r="C62" s="14"/>
      <c r="D62" s="14"/>
      <c r="E62" s="15"/>
      <c r="F62" s="16"/>
      <c r="G62" s="17"/>
      <c r="H62" s="13"/>
      <c r="I62" s="13"/>
      <c r="J62" s="13"/>
      <c r="K62" s="21"/>
    </row>
    <row r="63" spans="2:11" ht="15" x14ac:dyDescent="0.2">
      <c r="B63" s="19">
        <v>1</v>
      </c>
      <c r="C63" s="99" t="s">
        <v>169</v>
      </c>
      <c r="D63" s="1" t="s">
        <v>170</v>
      </c>
      <c r="E63" s="20">
        <v>29965825.609999999</v>
      </c>
      <c r="F63" s="1"/>
      <c r="G63" s="21">
        <v>180</v>
      </c>
      <c r="H63" s="21" t="s">
        <v>34</v>
      </c>
      <c r="I63" s="21" t="s">
        <v>21</v>
      </c>
      <c r="J63" s="21" t="s">
        <v>39</v>
      </c>
      <c r="K63" s="13" t="s">
        <v>23</v>
      </c>
    </row>
    <row r="64" spans="2:11" ht="15" x14ac:dyDescent="0.2">
      <c r="B64" s="19">
        <v>2</v>
      </c>
      <c r="C64" s="99" t="s">
        <v>171</v>
      </c>
      <c r="D64" s="1" t="s">
        <v>172</v>
      </c>
      <c r="E64" s="20">
        <v>12040576</v>
      </c>
      <c r="F64" s="1"/>
      <c r="G64" s="21">
        <v>336</v>
      </c>
      <c r="H64" s="21" t="s">
        <v>34</v>
      </c>
      <c r="I64" s="21" t="s">
        <v>21</v>
      </c>
      <c r="J64" s="21" t="s">
        <v>173</v>
      </c>
      <c r="K64" s="13" t="s">
        <v>23</v>
      </c>
    </row>
    <row r="65" spans="2:11" ht="15" x14ac:dyDescent="0.2">
      <c r="B65" s="95">
        <v>3</v>
      </c>
      <c r="C65" s="14" t="s">
        <v>174</v>
      </c>
      <c r="D65" s="14" t="s">
        <v>175</v>
      </c>
      <c r="E65" s="15">
        <f>761952178/45.93</f>
        <v>16589422.556063576</v>
      </c>
      <c r="F65" s="16"/>
      <c r="G65" s="17">
        <v>158</v>
      </c>
      <c r="H65" s="13" t="s">
        <v>142</v>
      </c>
      <c r="I65" s="13" t="s">
        <v>21</v>
      </c>
      <c r="J65" s="13" t="s">
        <v>74</v>
      </c>
      <c r="K65" s="21" t="s">
        <v>31</v>
      </c>
    </row>
    <row r="66" spans="2:11" ht="15" x14ac:dyDescent="0.2">
      <c r="B66" s="95">
        <v>4</v>
      </c>
      <c r="C66" s="14" t="s">
        <v>176</v>
      </c>
      <c r="D66" s="14" t="s">
        <v>148</v>
      </c>
      <c r="E66" s="15">
        <f>9160000000/45.93</f>
        <v>199433921.18441105</v>
      </c>
      <c r="F66" s="16"/>
      <c r="G66" s="17">
        <v>1400</v>
      </c>
      <c r="H66" s="13" t="s">
        <v>43</v>
      </c>
      <c r="I66" s="13" t="s">
        <v>149</v>
      </c>
      <c r="J66" s="13" t="s">
        <v>39</v>
      </c>
      <c r="K66" s="21" t="s">
        <v>31</v>
      </c>
    </row>
    <row r="67" spans="2:11" ht="15" x14ac:dyDescent="0.2">
      <c r="B67" s="95"/>
      <c r="C67" s="14"/>
      <c r="D67" s="14"/>
      <c r="E67" s="15"/>
      <c r="F67" s="16"/>
      <c r="G67" s="17"/>
      <c r="H67" s="13"/>
      <c r="I67" s="13"/>
      <c r="J67" s="13"/>
      <c r="K67" s="21"/>
    </row>
    <row r="68" spans="2:11" ht="15" x14ac:dyDescent="0.2">
      <c r="B68" s="11" t="s">
        <v>178</v>
      </c>
      <c r="C68" s="14"/>
      <c r="D68" s="14"/>
      <c r="E68" s="15"/>
      <c r="F68" s="16"/>
      <c r="G68" s="17"/>
      <c r="H68" s="13"/>
      <c r="I68" s="13"/>
      <c r="J68" s="13"/>
      <c r="K68" s="21"/>
    </row>
    <row r="69" spans="2:11" ht="15" x14ac:dyDescent="0.2">
      <c r="B69" s="95"/>
      <c r="C69" s="14"/>
      <c r="D69" s="14"/>
      <c r="E69" s="15"/>
      <c r="F69" s="16"/>
      <c r="G69" s="17"/>
      <c r="H69" s="13"/>
      <c r="I69" s="13"/>
      <c r="J69" s="13"/>
      <c r="K69" s="21"/>
    </row>
    <row r="70" spans="2:11" ht="15" x14ac:dyDescent="0.2">
      <c r="B70" s="95">
        <v>1</v>
      </c>
      <c r="C70" s="1" t="s">
        <v>179</v>
      </c>
      <c r="D70" s="1" t="s">
        <v>180</v>
      </c>
      <c r="E70" s="20">
        <v>8000000</v>
      </c>
      <c r="F70" s="1"/>
      <c r="G70" s="97">
        <v>26</v>
      </c>
      <c r="H70" s="21" t="s">
        <v>34</v>
      </c>
      <c r="I70" s="21" t="s">
        <v>21</v>
      </c>
      <c r="J70" s="21" t="s">
        <v>139</v>
      </c>
      <c r="K70" s="21" t="s">
        <v>23</v>
      </c>
    </row>
    <row r="71" spans="2:11" ht="15" x14ac:dyDescent="0.2">
      <c r="B71" s="95">
        <v>2</v>
      </c>
      <c r="C71" s="14" t="s">
        <v>181</v>
      </c>
      <c r="D71" s="14" t="s">
        <v>182</v>
      </c>
      <c r="E71" s="15">
        <f>422426188/46</f>
        <v>9183178</v>
      </c>
      <c r="F71" s="16"/>
      <c r="G71" s="17">
        <v>102</v>
      </c>
      <c r="H71" s="13" t="s">
        <v>29</v>
      </c>
      <c r="I71" s="13" t="s">
        <v>86</v>
      </c>
      <c r="J71" s="13" t="s">
        <v>121</v>
      </c>
      <c r="K71" s="21" t="s">
        <v>31</v>
      </c>
    </row>
    <row r="72" spans="2:11" ht="15" x14ac:dyDescent="0.2">
      <c r="B72" s="95">
        <v>3</v>
      </c>
      <c r="C72" s="14" t="s">
        <v>183</v>
      </c>
      <c r="D72" s="14" t="s">
        <v>184</v>
      </c>
      <c r="E72" s="15">
        <f>470581664/46</f>
        <v>10230036.173913043</v>
      </c>
      <c r="F72" s="16"/>
      <c r="G72" s="17">
        <v>88</v>
      </c>
      <c r="H72" s="13" t="s">
        <v>29</v>
      </c>
      <c r="I72" s="13" t="s">
        <v>21</v>
      </c>
      <c r="J72" s="13" t="s">
        <v>39</v>
      </c>
      <c r="K72" s="21" t="s">
        <v>31</v>
      </c>
    </row>
    <row r="73" spans="2:11" ht="15" x14ac:dyDescent="0.2">
      <c r="B73" s="95">
        <v>4</v>
      </c>
      <c r="C73" s="14" t="s">
        <v>185</v>
      </c>
      <c r="D73" s="14" t="s">
        <v>186</v>
      </c>
      <c r="E73" s="15">
        <f>194469834.46/46</f>
        <v>4227605.0969565222</v>
      </c>
      <c r="F73" s="16"/>
      <c r="G73" s="17">
        <v>36</v>
      </c>
      <c r="H73" s="13" t="s">
        <v>187</v>
      </c>
      <c r="I73" s="13" t="s">
        <v>21</v>
      </c>
      <c r="J73" s="13" t="s">
        <v>188</v>
      </c>
      <c r="K73" s="21" t="s">
        <v>31</v>
      </c>
    </row>
    <row r="74" spans="2:11" ht="15" x14ac:dyDescent="0.2">
      <c r="B74" s="95">
        <v>5</v>
      </c>
      <c r="C74" s="14" t="s">
        <v>189</v>
      </c>
      <c r="D74" s="14" t="s">
        <v>190</v>
      </c>
      <c r="E74" s="15">
        <v>151864000</v>
      </c>
      <c r="F74" s="16"/>
      <c r="G74" s="17">
        <v>1205</v>
      </c>
      <c r="H74" s="13" t="s">
        <v>29</v>
      </c>
      <c r="I74" s="13" t="s">
        <v>21</v>
      </c>
      <c r="J74" s="13" t="s">
        <v>191</v>
      </c>
      <c r="K74" s="21" t="s">
        <v>31</v>
      </c>
    </row>
    <row r="75" spans="2:11" ht="15" x14ac:dyDescent="0.2">
      <c r="B75" s="95"/>
      <c r="C75" s="14"/>
      <c r="D75" s="14"/>
      <c r="E75" s="15"/>
      <c r="F75" s="16"/>
      <c r="G75" s="17"/>
      <c r="H75" s="13"/>
      <c r="I75" s="13"/>
      <c r="J75" s="13"/>
      <c r="K75" s="21"/>
    </row>
    <row r="76" spans="2:11" ht="15" x14ac:dyDescent="0.2">
      <c r="B76" s="11" t="s">
        <v>192</v>
      </c>
      <c r="C76" s="14"/>
      <c r="D76" s="14"/>
      <c r="E76" s="15"/>
      <c r="F76" s="16"/>
      <c r="G76" s="17"/>
      <c r="H76" s="13"/>
      <c r="I76" s="13"/>
      <c r="J76" s="13"/>
      <c r="K76" s="21"/>
    </row>
    <row r="77" spans="2:11" ht="15" x14ac:dyDescent="0.2">
      <c r="B77" s="95"/>
      <c r="C77" s="14"/>
      <c r="D77" s="14"/>
      <c r="E77" s="15"/>
      <c r="F77" s="16"/>
      <c r="G77" s="17"/>
      <c r="H77" s="13"/>
      <c r="I77" s="13"/>
      <c r="J77" s="13"/>
      <c r="K77" s="21"/>
    </row>
    <row r="78" spans="2:11" ht="15" x14ac:dyDescent="0.2">
      <c r="B78" s="95">
        <v>1</v>
      </c>
      <c r="C78" s="56" t="s">
        <v>193</v>
      </c>
      <c r="D78" s="56" t="s">
        <v>194</v>
      </c>
      <c r="E78" s="101">
        <v>21313299</v>
      </c>
      <c r="F78" s="56"/>
      <c r="G78" s="82">
        <v>176</v>
      </c>
      <c r="H78" s="102" t="s">
        <v>34</v>
      </c>
      <c r="I78" s="102" t="s">
        <v>86</v>
      </c>
      <c r="J78" s="102" t="s">
        <v>121</v>
      </c>
      <c r="K78" s="21" t="s">
        <v>23</v>
      </c>
    </row>
    <row r="79" spans="2:11" ht="15" x14ac:dyDescent="0.2">
      <c r="B79" s="95">
        <v>2</v>
      </c>
      <c r="C79" s="56" t="s">
        <v>195</v>
      </c>
      <c r="D79" s="56" t="s">
        <v>196</v>
      </c>
      <c r="E79" s="101">
        <v>3875736</v>
      </c>
      <c r="F79" s="56"/>
      <c r="G79" s="82">
        <v>69</v>
      </c>
      <c r="H79" s="102" t="s">
        <v>34</v>
      </c>
      <c r="I79" s="102" t="s">
        <v>21</v>
      </c>
      <c r="J79" s="102" t="s">
        <v>197</v>
      </c>
      <c r="K79" s="21" t="s">
        <v>23</v>
      </c>
    </row>
    <row r="80" spans="2:11" ht="15" x14ac:dyDescent="0.2">
      <c r="B80" s="95">
        <v>3</v>
      </c>
      <c r="C80" s="14" t="s">
        <v>198</v>
      </c>
      <c r="D80" s="14" t="s">
        <v>199</v>
      </c>
      <c r="E80" s="15">
        <f>701500000/46.5</f>
        <v>15086021.505376345</v>
      </c>
      <c r="F80" s="16"/>
      <c r="G80" s="17">
        <v>153</v>
      </c>
      <c r="H80" s="13" t="s">
        <v>187</v>
      </c>
      <c r="I80" s="13" t="s">
        <v>136</v>
      </c>
      <c r="J80" s="13" t="s">
        <v>39</v>
      </c>
      <c r="K80" s="21" t="s">
        <v>31</v>
      </c>
    </row>
    <row r="81" spans="2:11" ht="15" x14ac:dyDescent="0.2">
      <c r="B81" s="95">
        <v>4</v>
      </c>
      <c r="C81" s="14" t="s">
        <v>71</v>
      </c>
      <c r="D81" s="14" t="s">
        <v>200</v>
      </c>
      <c r="E81" s="15">
        <f>272296210/46.5</f>
        <v>5855832.4731182791</v>
      </c>
      <c r="F81" s="16"/>
      <c r="G81" s="17">
        <v>108</v>
      </c>
      <c r="H81" s="13" t="s">
        <v>187</v>
      </c>
      <c r="I81" s="13" t="s">
        <v>21</v>
      </c>
      <c r="J81" s="13" t="s">
        <v>74</v>
      </c>
      <c r="K81" s="21" t="s">
        <v>31</v>
      </c>
    </row>
    <row r="82" spans="2:11" ht="15" x14ac:dyDescent="0.2">
      <c r="B82" s="95">
        <v>5</v>
      </c>
      <c r="C82" s="14" t="s">
        <v>201</v>
      </c>
      <c r="D82" s="14" t="s">
        <v>202</v>
      </c>
      <c r="E82" s="15">
        <f>105300000/46.5</f>
        <v>2264516.1290322579</v>
      </c>
      <c r="F82" s="16"/>
      <c r="G82" s="17">
        <v>18</v>
      </c>
      <c r="H82" s="13" t="s">
        <v>126</v>
      </c>
      <c r="I82" s="13" t="s">
        <v>86</v>
      </c>
      <c r="J82" s="13" t="s">
        <v>134</v>
      </c>
      <c r="K82" s="21" t="s">
        <v>31</v>
      </c>
    </row>
    <row r="83" spans="2:11" ht="15" x14ac:dyDescent="0.2">
      <c r="B83" s="95">
        <v>6</v>
      </c>
      <c r="C83" s="14" t="s">
        <v>203</v>
      </c>
      <c r="D83" s="14" t="s">
        <v>204</v>
      </c>
      <c r="E83" s="15">
        <f>34300000/46.5</f>
        <v>737634.40860215051</v>
      </c>
      <c r="F83" s="16"/>
      <c r="G83" s="17">
        <v>24</v>
      </c>
      <c r="H83" s="13" t="s">
        <v>205</v>
      </c>
      <c r="I83" s="13" t="s">
        <v>90</v>
      </c>
      <c r="J83" s="13" t="s">
        <v>39</v>
      </c>
      <c r="K83" s="21" t="s">
        <v>31</v>
      </c>
    </row>
    <row r="84" spans="2:11" ht="15" x14ac:dyDescent="0.2">
      <c r="B84" s="95"/>
      <c r="C84" s="14"/>
      <c r="D84" s="14"/>
      <c r="E84" s="15"/>
      <c r="F84" s="16"/>
      <c r="G84" s="17"/>
      <c r="H84" s="13"/>
      <c r="I84" s="13"/>
      <c r="J84" s="13"/>
      <c r="K84" s="21"/>
    </row>
    <row r="85" spans="2:11" ht="15" x14ac:dyDescent="0.2">
      <c r="B85" s="11" t="s">
        <v>208</v>
      </c>
      <c r="C85" s="14"/>
      <c r="D85" s="14"/>
      <c r="E85" s="15"/>
      <c r="F85" s="16"/>
      <c r="G85" s="17"/>
      <c r="H85" s="13"/>
      <c r="I85" s="13"/>
      <c r="J85" s="13"/>
      <c r="K85" s="21"/>
    </row>
    <row r="86" spans="2:11" ht="15" x14ac:dyDescent="0.2">
      <c r="B86" s="95"/>
      <c r="C86" s="14"/>
      <c r="D86" s="14"/>
      <c r="E86" s="15"/>
      <c r="F86" s="16"/>
      <c r="G86" s="17"/>
      <c r="H86" s="13"/>
      <c r="I86" s="13"/>
      <c r="J86" s="13"/>
      <c r="K86" s="21"/>
    </row>
    <row r="87" spans="2:11" ht="14.25" x14ac:dyDescent="0.2">
      <c r="B87" s="95">
        <v>1</v>
      </c>
      <c r="C87" s="56" t="s">
        <v>209</v>
      </c>
      <c r="D87" s="56" t="s">
        <v>210</v>
      </c>
      <c r="E87" s="101">
        <v>28563244</v>
      </c>
      <c r="F87" s="56"/>
      <c r="G87" s="82">
        <v>150</v>
      </c>
      <c r="H87" s="102" t="s">
        <v>43</v>
      </c>
      <c r="I87" s="102" t="s">
        <v>21</v>
      </c>
      <c r="J87" s="102" t="s">
        <v>39</v>
      </c>
      <c r="K87" s="102" t="s">
        <v>23</v>
      </c>
    </row>
    <row r="88" spans="2:11" ht="14.25" x14ac:dyDescent="0.2">
      <c r="B88" s="95">
        <f>+B87+1</f>
        <v>2</v>
      </c>
      <c r="C88" s="56" t="s">
        <v>211</v>
      </c>
      <c r="D88" s="56" t="s">
        <v>212</v>
      </c>
      <c r="E88" s="101">
        <v>28563244</v>
      </c>
      <c r="F88" s="56"/>
      <c r="G88" s="82">
        <v>150</v>
      </c>
      <c r="H88" s="102" t="s">
        <v>43</v>
      </c>
      <c r="I88" s="102" t="s">
        <v>21</v>
      </c>
      <c r="J88" s="102" t="s">
        <v>39</v>
      </c>
      <c r="K88" s="102" t="s">
        <v>23</v>
      </c>
    </row>
    <row r="89" spans="2:11" ht="14.25" x14ac:dyDescent="0.2">
      <c r="B89" s="95">
        <f t="shared" ref="B89:B96" si="0">+B88+1</f>
        <v>3</v>
      </c>
      <c r="C89" s="56" t="s">
        <v>213</v>
      </c>
      <c r="D89" s="56" t="s">
        <v>214</v>
      </c>
      <c r="E89" s="101">
        <v>28563244</v>
      </c>
      <c r="F89" s="56"/>
      <c r="G89" s="82">
        <v>150</v>
      </c>
      <c r="H89" s="102" t="s">
        <v>43</v>
      </c>
      <c r="I89" s="102" t="s">
        <v>21</v>
      </c>
      <c r="J89" s="102" t="s">
        <v>39</v>
      </c>
      <c r="K89" s="102" t="s">
        <v>23</v>
      </c>
    </row>
    <row r="90" spans="2:11" ht="14.25" x14ac:dyDescent="0.2">
      <c r="B90" s="95">
        <f t="shared" si="0"/>
        <v>4</v>
      </c>
      <c r="C90" s="56" t="s">
        <v>215</v>
      </c>
      <c r="D90" s="56" t="s">
        <v>216</v>
      </c>
      <c r="E90" s="101">
        <v>28563244</v>
      </c>
      <c r="F90" s="56"/>
      <c r="G90" s="82">
        <v>150</v>
      </c>
      <c r="H90" s="102" t="s">
        <v>43</v>
      </c>
      <c r="I90" s="102" t="s">
        <v>21</v>
      </c>
      <c r="J90" s="102" t="s">
        <v>39</v>
      </c>
      <c r="K90" s="102" t="s">
        <v>23</v>
      </c>
    </row>
    <row r="91" spans="2:11" ht="14.25" x14ac:dyDescent="0.2">
      <c r="B91" s="95">
        <f t="shared" si="0"/>
        <v>5</v>
      </c>
      <c r="C91" s="56" t="s">
        <v>217</v>
      </c>
      <c r="D91" s="56" t="s">
        <v>218</v>
      </c>
      <c r="E91" s="101">
        <v>28563244</v>
      </c>
      <c r="F91" s="56"/>
      <c r="G91" s="82">
        <v>150</v>
      </c>
      <c r="H91" s="102" t="s">
        <v>43</v>
      </c>
      <c r="I91" s="102" t="s">
        <v>21</v>
      </c>
      <c r="J91" s="102" t="s">
        <v>39</v>
      </c>
      <c r="K91" s="102" t="s">
        <v>23</v>
      </c>
    </row>
    <row r="92" spans="2:11" ht="14.25" x14ac:dyDescent="0.2">
      <c r="B92" s="95">
        <f t="shared" si="0"/>
        <v>6</v>
      </c>
      <c r="C92" s="56" t="s">
        <v>219</v>
      </c>
      <c r="D92" s="56" t="s">
        <v>220</v>
      </c>
      <c r="E92" s="101">
        <v>28563244</v>
      </c>
      <c r="F92" s="56"/>
      <c r="G92" s="82">
        <v>150</v>
      </c>
      <c r="H92" s="102" t="s">
        <v>43</v>
      </c>
      <c r="I92" s="102" t="s">
        <v>21</v>
      </c>
      <c r="J92" s="102" t="s">
        <v>39</v>
      </c>
      <c r="K92" s="102" t="s">
        <v>23</v>
      </c>
    </row>
    <row r="93" spans="2:11" ht="14.25" x14ac:dyDescent="0.2">
      <c r="B93" s="95">
        <f t="shared" si="0"/>
        <v>7</v>
      </c>
      <c r="C93" s="56" t="s">
        <v>221</v>
      </c>
      <c r="D93" s="56" t="s">
        <v>222</v>
      </c>
      <c r="E93" s="101">
        <v>7434000</v>
      </c>
      <c r="F93" s="56"/>
      <c r="G93" s="82">
        <v>0</v>
      </c>
      <c r="H93" s="102" t="s">
        <v>52</v>
      </c>
      <c r="I93" s="102" t="s">
        <v>21</v>
      </c>
      <c r="J93" s="102" t="s">
        <v>39</v>
      </c>
      <c r="K93" s="102" t="s">
        <v>23</v>
      </c>
    </row>
    <row r="94" spans="2:11" ht="14.25" x14ac:dyDescent="0.2">
      <c r="B94" s="95">
        <f t="shared" si="0"/>
        <v>8</v>
      </c>
      <c r="C94" s="14" t="s">
        <v>223</v>
      </c>
      <c r="D94" s="14" t="s">
        <v>224</v>
      </c>
      <c r="E94" s="15">
        <f>244000000/46.5</f>
        <v>5247311.8279569894</v>
      </c>
      <c r="F94" s="16"/>
      <c r="G94" s="17">
        <v>279</v>
      </c>
      <c r="H94" s="13" t="s">
        <v>29</v>
      </c>
      <c r="I94" s="13" t="s">
        <v>44</v>
      </c>
      <c r="J94" s="13" t="s">
        <v>225</v>
      </c>
      <c r="K94" s="102" t="s">
        <v>231</v>
      </c>
    </row>
    <row r="95" spans="2:11" ht="14.25" x14ac:dyDescent="0.2">
      <c r="B95" s="95">
        <f t="shared" si="0"/>
        <v>9</v>
      </c>
      <c r="C95" s="14" t="s">
        <v>226</v>
      </c>
      <c r="D95" s="14" t="s">
        <v>227</v>
      </c>
      <c r="E95" s="15"/>
      <c r="F95" s="16"/>
      <c r="G95" s="17">
        <v>0</v>
      </c>
      <c r="H95" s="13" t="s">
        <v>52</v>
      </c>
      <c r="I95" s="13" t="s">
        <v>21</v>
      </c>
      <c r="J95" s="13" t="s">
        <v>228</v>
      </c>
      <c r="K95" s="102" t="s">
        <v>231</v>
      </c>
    </row>
    <row r="96" spans="2:11" ht="14.25" x14ac:dyDescent="0.2">
      <c r="B96" s="95">
        <f t="shared" si="0"/>
        <v>10</v>
      </c>
      <c r="C96" s="14" t="s">
        <v>229</v>
      </c>
      <c r="D96" s="14" t="s">
        <v>230</v>
      </c>
      <c r="E96" s="15">
        <f>39200000/46.5</f>
        <v>843010.75268817204</v>
      </c>
      <c r="F96" s="16"/>
      <c r="G96" s="17">
        <v>19</v>
      </c>
      <c r="H96" s="13" t="s">
        <v>29</v>
      </c>
      <c r="I96" s="13" t="s">
        <v>30</v>
      </c>
      <c r="J96" s="13" t="s">
        <v>39</v>
      </c>
      <c r="K96" s="102" t="s">
        <v>231</v>
      </c>
    </row>
    <row r="97" spans="2:11" ht="14.25" x14ac:dyDescent="0.2">
      <c r="B97" s="95"/>
      <c r="C97" s="14"/>
      <c r="D97" s="14"/>
      <c r="E97" s="15"/>
      <c r="F97" s="16"/>
      <c r="G97" s="17"/>
      <c r="H97" s="13"/>
      <c r="I97" s="13"/>
      <c r="J97" s="13"/>
      <c r="K97" s="102"/>
    </row>
    <row r="98" spans="2:11" ht="14.25" x14ac:dyDescent="0.2">
      <c r="B98" s="11" t="s">
        <v>233</v>
      </c>
      <c r="C98" s="14"/>
      <c r="D98" s="14"/>
      <c r="E98" s="15"/>
      <c r="F98" s="16"/>
      <c r="G98" s="17"/>
      <c r="H98" s="13"/>
      <c r="I98" s="13"/>
      <c r="J98" s="13"/>
      <c r="K98" s="102"/>
    </row>
    <row r="99" spans="2:11" ht="14.25" x14ac:dyDescent="0.2">
      <c r="B99" s="95"/>
      <c r="C99" s="14"/>
      <c r="D99" s="14"/>
      <c r="E99" s="15"/>
      <c r="F99" s="16"/>
      <c r="G99" s="17"/>
      <c r="H99" s="13"/>
      <c r="I99" s="13"/>
      <c r="J99" s="13"/>
      <c r="K99" s="102"/>
    </row>
    <row r="100" spans="2:11" ht="15" x14ac:dyDescent="0.2">
      <c r="B100" s="95">
        <v>1</v>
      </c>
      <c r="C100" s="1" t="s">
        <v>234</v>
      </c>
      <c r="D100" s="1" t="s">
        <v>235</v>
      </c>
      <c r="E100" s="20">
        <v>14787562</v>
      </c>
      <c r="F100" s="1"/>
      <c r="G100" s="97">
        <v>123</v>
      </c>
      <c r="H100" s="21" t="s">
        <v>34</v>
      </c>
      <c r="I100" s="21" t="s">
        <v>21</v>
      </c>
      <c r="J100" s="21" t="s">
        <v>121</v>
      </c>
      <c r="K100" s="102" t="s">
        <v>23</v>
      </c>
    </row>
    <row r="101" spans="2:11" ht="15" x14ac:dyDescent="0.2">
      <c r="B101" s="95">
        <v>2</v>
      </c>
      <c r="C101" s="1" t="s">
        <v>236</v>
      </c>
      <c r="D101" s="1" t="s">
        <v>237</v>
      </c>
      <c r="E101" s="20">
        <v>12974580</v>
      </c>
      <c r="F101" s="1"/>
      <c r="G101" s="97">
        <v>192</v>
      </c>
      <c r="H101" s="21" t="s">
        <v>34</v>
      </c>
      <c r="I101" s="21" t="s">
        <v>136</v>
      </c>
      <c r="J101" s="21" t="s">
        <v>22</v>
      </c>
      <c r="K101" s="102" t="s">
        <v>23</v>
      </c>
    </row>
    <row r="102" spans="2:11" ht="15" x14ac:dyDescent="0.2">
      <c r="B102" s="95">
        <v>3</v>
      </c>
      <c r="C102" s="1" t="s">
        <v>238</v>
      </c>
      <c r="D102" s="1" t="s">
        <v>239</v>
      </c>
      <c r="E102" s="20">
        <f>63369475/46.5</f>
        <v>1362784.4086021506</v>
      </c>
      <c r="F102" s="1"/>
      <c r="G102" s="97">
        <v>0</v>
      </c>
      <c r="H102" s="21" t="s">
        <v>52</v>
      </c>
      <c r="I102" s="21" t="s">
        <v>30</v>
      </c>
      <c r="J102" s="21" t="s">
        <v>240</v>
      </c>
      <c r="K102" s="102" t="s">
        <v>23</v>
      </c>
    </row>
    <row r="103" spans="2:11" ht="14.25" x14ac:dyDescent="0.2">
      <c r="B103" s="95">
        <v>4</v>
      </c>
      <c r="C103" s="14" t="s">
        <v>241</v>
      </c>
      <c r="D103" s="14" t="s">
        <v>242</v>
      </c>
      <c r="E103" s="15">
        <f>1963000000/46.5</f>
        <v>42215053.763440862</v>
      </c>
      <c r="F103" s="16"/>
      <c r="G103" s="17">
        <v>0</v>
      </c>
      <c r="H103" s="13" t="s">
        <v>29</v>
      </c>
      <c r="I103" s="13" t="s">
        <v>21</v>
      </c>
      <c r="J103" s="13" t="s">
        <v>121</v>
      </c>
      <c r="K103" s="102" t="s">
        <v>231</v>
      </c>
    </row>
    <row r="104" spans="2:11" ht="14.25" x14ac:dyDescent="0.2">
      <c r="B104" s="95">
        <v>5</v>
      </c>
      <c r="C104" s="14" t="s">
        <v>243</v>
      </c>
      <c r="D104" s="14" t="s">
        <v>244</v>
      </c>
      <c r="E104" s="15">
        <f>296300000/46.5</f>
        <v>6372043.0107526882</v>
      </c>
      <c r="F104" s="16"/>
      <c r="G104" s="17">
        <v>66</v>
      </c>
      <c r="H104" s="13" t="s">
        <v>34</v>
      </c>
      <c r="I104" s="13" t="s">
        <v>86</v>
      </c>
      <c r="J104" s="13" t="s">
        <v>39</v>
      </c>
      <c r="K104" s="102" t="s">
        <v>231</v>
      </c>
    </row>
    <row r="105" spans="2:11" ht="14.25" x14ac:dyDescent="0.2">
      <c r="B105" s="95">
        <v>6</v>
      </c>
      <c r="C105" s="14" t="s">
        <v>140</v>
      </c>
      <c r="D105" s="14" t="s">
        <v>141</v>
      </c>
      <c r="E105" s="15">
        <f>250300000/46.5</f>
        <v>5382795.6989247315</v>
      </c>
      <c r="F105" s="16"/>
      <c r="G105" s="17">
        <v>45</v>
      </c>
      <c r="H105" s="13" t="s">
        <v>245</v>
      </c>
      <c r="I105" s="13" t="s">
        <v>246</v>
      </c>
      <c r="J105" s="13" t="s">
        <v>39</v>
      </c>
      <c r="K105" s="102" t="s">
        <v>231</v>
      </c>
    </row>
    <row r="106" spans="2:11" ht="14.25" x14ac:dyDescent="0.2">
      <c r="B106" s="95">
        <v>7</v>
      </c>
      <c r="C106" s="14" t="s">
        <v>247</v>
      </c>
      <c r="D106" s="14" t="s">
        <v>248</v>
      </c>
      <c r="E106" s="15">
        <f>252300000/46.5</f>
        <v>5425806.4516129028</v>
      </c>
      <c r="F106" s="16"/>
      <c r="G106" s="17">
        <v>184</v>
      </c>
      <c r="H106" s="13" t="s">
        <v>43</v>
      </c>
      <c r="I106" s="13" t="s">
        <v>246</v>
      </c>
      <c r="J106" s="13" t="s">
        <v>121</v>
      </c>
      <c r="K106" s="102" t="s">
        <v>231</v>
      </c>
    </row>
    <row r="107" spans="2:11" ht="15" thickBot="1" x14ac:dyDescent="0.25">
      <c r="B107" s="95"/>
      <c r="C107" s="14"/>
      <c r="D107" s="14"/>
      <c r="E107" s="15"/>
      <c r="F107" s="16"/>
      <c r="G107" s="17"/>
      <c r="H107" s="13"/>
      <c r="I107" s="13"/>
      <c r="J107" s="13"/>
    </row>
    <row r="108" spans="2:11" ht="13.5" thickBot="1" x14ac:dyDescent="0.25">
      <c r="B108" s="29">
        <f>+B106+B96+B83+B74+B66+B60+B54+B45+B38+B34+B26+B22+B14</f>
        <v>69</v>
      </c>
      <c r="C108" s="30"/>
      <c r="D108" s="30"/>
      <c r="E108" s="31">
        <f>SUM(E10:E106)</f>
        <v>1482073481.034806</v>
      </c>
      <c r="F108" s="30"/>
      <c r="G108" s="32">
        <f>SUM(G10:G106)</f>
        <v>8664</v>
      </c>
      <c r="H108" s="30"/>
      <c r="I108" s="33"/>
      <c r="J108" s="33"/>
      <c r="K108" s="34"/>
    </row>
    <row r="110" spans="2:11" x14ac:dyDescent="0.2">
      <c r="B110" s="55" t="s">
        <v>249</v>
      </c>
    </row>
    <row r="111" spans="2:11" x14ac:dyDescent="0.2">
      <c r="B111" t="s">
        <v>91</v>
      </c>
      <c r="G111" s="59"/>
    </row>
    <row r="112" spans="2:11" x14ac:dyDescent="0.2">
      <c r="E112" s="98"/>
      <c r="F112" s="98"/>
      <c r="G112" s="98"/>
    </row>
    <row r="113" spans="3:10" ht="15" x14ac:dyDescent="0.2">
      <c r="C113" s="1"/>
      <c r="D113" s="1"/>
      <c r="E113" s="20"/>
      <c r="F113" s="1"/>
      <c r="G113" s="97"/>
      <c r="H113" s="21"/>
      <c r="I113" s="21"/>
      <c r="J113" s="21"/>
    </row>
    <row r="114" spans="3:10" x14ac:dyDescent="0.2">
      <c r="E114" s="98"/>
    </row>
  </sheetData>
  <mergeCells count="3">
    <mergeCell ref="B1:K1"/>
    <mergeCell ref="B2:K2"/>
    <mergeCell ref="B4:K4"/>
  </mergeCells>
  <printOptions horizontalCentered="1"/>
  <pageMargins left="0.31496062992125984" right="0.70866141732283472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36"/>
  <sheetViews>
    <sheetView topLeftCell="A7" workbookViewId="0">
      <selection activeCell="C26" sqref="C26"/>
    </sheetView>
  </sheetViews>
  <sheetFormatPr defaultRowHeight="12.75" x14ac:dyDescent="0.2"/>
  <cols>
    <col min="3" max="3" width="18.85546875" customWidth="1"/>
    <col min="4" max="4" width="21.5703125" bestFit="1" customWidth="1"/>
    <col min="5" max="5" width="17.85546875" bestFit="1" customWidth="1"/>
    <col min="6" max="6" width="7.28515625" bestFit="1" customWidth="1"/>
    <col min="7" max="7" width="14.7109375" bestFit="1" customWidth="1"/>
    <col min="8" max="8" width="7.28515625" bestFit="1" customWidth="1"/>
  </cols>
  <sheetData>
    <row r="4" spans="3:8" x14ac:dyDescent="0.2">
      <c r="C4" s="104" t="s">
        <v>0</v>
      </c>
      <c r="D4" s="104"/>
      <c r="E4" s="104"/>
      <c r="F4" s="104"/>
      <c r="G4" s="104"/>
      <c r="H4" s="104"/>
    </row>
    <row r="5" spans="3:8" x14ac:dyDescent="0.2">
      <c r="C5" s="104" t="s">
        <v>1</v>
      </c>
      <c r="D5" s="104"/>
      <c r="E5" s="104"/>
      <c r="F5" s="104"/>
      <c r="G5" s="104"/>
      <c r="H5" s="104"/>
    </row>
    <row r="7" spans="3:8" x14ac:dyDescent="0.2">
      <c r="C7" s="104" t="s">
        <v>103</v>
      </c>
      <c r="D7" s="104"/>
      <c r="E7" s="104"/>
      <c r="F7" s="104"/>
      <c r="G7" s="104"/>
      <c r="H7" s="104"/>
    </row>
    <row r="8" spans="3:8" x14ac:dyDescent="0.2">
      <c r="C8" s="104" t="s">
        <v>92</v>
      </c>
      <c r="D8" s="104"/>
      <c r="E8" s="104"/>
      <c r="F8" s="104"/>
      <c r="G8" s="104"/>
      <c r="H8" s="104"/>
    </row>
    <row r="9" spans="3:8" ht="13.5" thickBot="1" x14ac:dyDescent="0.25"/>
    <row r="10" spans="3:8" x14ac:dyDescent="0.2">
      <c r="C10" s="35" t="s">
        <v>93</v>
      </c>
      <c r="D10" s="36"/>
      <c r="E10" s="37" t="s">
        <v>94</v>
      </c>
      <c r="F10" s="37"/>
      <c r="G10" s="38" t="s">
        <v>95</v>
      </c>
      <c r="H10" s="39"/>
    </row>
    <row r="11" spans="3:8" ht="13.5" thickBot="1" x14ac:dyDescent="0.25">
      <c r="C11" s="40" t="s">
        <v>96</v>
      </c>
      <c r="D11" s="41" t="s">
        <v>97</v>
      </c>
      <c r="E11" s="42" t="s">
        <v>98</v>
      </c>
      <c r="F11" s="43" t="s">
        <v>99</v>
      </c>
      <c r="G11" s="43" t="s">
        <v>100</v>
      </c>
      <c r="H11" s="44" t="s">
        <v>99</v>
      </c>
    </row>
    <row r="12" spans="3:8" x14ac:dyDescent="0.2">
      <c r="C12" s="45"/>
      <c r="D12" s="46"/>
      <c r="E12" s="47"/>
      <c r="F12" s="46"/>
      <c r="G12" s="46"/>
      <c r="H12" s="46"/>
    </row>
    <row r="13" spans="3:8" ht="14.25" x14ac:dyDescent="0.2">
      <c r="C13" s="90">
        <v>40</v>
      </c>
      <c r="D13" s="18" t="s">
        <v>21</v>
      </c>
      <c r="E13" s="48">
        <f>425.9+174.3-4.2+3.9+178.8+14.7+42.2+5.4+5.4-5</f>
        <v>841.40000000000009</v>
      </c>
      <c r="F13" s="49">
        <f>+E13/E$31*100</f>
        <v>56.770798191754935</v>
      </c>
      <c r="G13" s="50">
        <f>76+108+36+220+138+158+45+156+68+100+500+180+336+158+1355-36+69+900+123+45+184-45</f>
        <v>4874</v>
      </c>
      <c r="H13" s="49">
        <f>+G13/G$31*100</f>
        <v>56.255771006463526</v>
      </c>
    </row>
    <row r="14" spans="3:8" ht="14.25" x14ac:dyDescent="0.2">
      <c r="C14" s="89"/>
      <c r="D14" s="18"/>
      <c r="E14" s="48"/>
      <c r="F14" s="49"/>
      <c r="G14" s="51"/>
      <c r="H14" s="49"/>
    </row>
    <row r="15" spans="3:8" ht="14.25" x14ac:dyDescent="0.2">
      <c r="C15" s="90">
        <v>2</v>
      </c>
      <c r="D15" s="18" t="s">
        <v>149</v>
      </c>
      <c r="E15" s="48">
        <v>199.4</v>
      </c>
      <c r="F15" s="49">
        <f>+E15/E$31*100</f>
        <v>13.45388300384589</v>
      </c>
      <c r="G15" s="51">
        <v>1400</v>
      </c>
      <c r="H15" s="49">
        <f>+G15/G$31*100</f>
        <v>16.158818097876271</v>
      </c>
    </row>
    <row r="16" spans="3:8" ht="14.25" x14ac:dyDescent="0.2">
      <c r="C16" s="89"/>
      <c r="D16" s="18"/>
      <c r="E16" s="48"/>
      <c r="F16" s="49"/>
      <c r="G16" s="50"/>
      <c r="H16" s="49">
        <f t="shared" ref="H16" si="0">+G16/G$31*100</f>
        <v>0</v>
      </c>
    </row>
    <row r="17" spans="3:8" ht="14.25" x14ac:dyDescent="0.2">
      <c r="C17" s="90">
        <v>2</v>
      </c>
      <c r="D17" s="18" t="s">
        <v>44</v>
      </c>
      <c r="E17" s="48">
        <f>430+5.2-243.8</f>
        <v>191.39999999999998</v>
      </c>
      <c r="F17" s="49">
        <f>+E17/E$31*100</f>
        <v>12.914108359759796</v>
      </c>
      <c r="G17" s="51">
        <v>279</v>
      </c>
      <c r="H17" s="49">
        <f>+G17/G$31*100</f>
        <v>3.2202216066481992</v>
      </c>
    </row>
    <row r="19" spans="3:8" ht="14.25" x14ac:dyDescent="0.2">
      <c r="C19" s="90">
        <v>10</v>
      </c>
      <c r="D19" s="18" t="s">
        <v>30</v>
      </c>
      <c r="E19" s="48">
        <f>10.9+5.8+6+2.2+1.6+51.8+8.9+0.8+1.4</f>
        <v>89.4</v>
      </c>
      <c r="F19" s="49">
        <f>+E19/E$31*100</f>
        <v>6.0319816476621</v>
      </c>
      <c r="G19" s="51">
        <f>196+62+123+19</f>
        <v>400</v>
      </c>
      <c r="H19" s="49">
        <f>+G19/G$31*100</f>
        <v>4.6168051708217916</v>
      </c>
    </row>
    <row r="20" spans="3:8" ht="14.25" x14ac:dyDescent="0.2">
      <c r="C20" s="89"/>
      <c r="D20" s="18"/>
      <c r="E20" s="48"/>
      <c r="F20" s="49"/>
      <c r="G20" s="50"/>
      <c r="H20" s="49"/>
    </row>
    <row r="21" spans="3:8" ht="14.25" x14ac:dyDescent="0.2">
      <c r="C21" s="90">
        <v>1</v>
      </c>
      <c r="D21" s="18" t="s">
        <v>114</v>
      </c>
      <c r="E21" s="48">
        <v>44</v>
      </c>
      <c r="F21" s="49">
        <f>+E21/E$31*100</f>
        <v>2.9687605424735164</v>
      </c>
      <c r="G21" s="51">
        <v>210</v>
      </c>
      <c r="H21" s="49">
        <f>+G21/G$31*100</f>
        <v>2.4238227146814406</v>
      </c>
    </row>
    <row r="22" spans="3:8" x14ac:dyDescent="0.2">
      <c r="C22" s="89"/>
      <c r="F22" s="49"/>
      <c r="H22" s="49"/>
    </row>
    <row r="23" spans="3:8" ht="14.25" x14ac:dyDescent="0.2">
      <c r="C23" s="90">
        <v>5</v>
      </c>
      <c r="D23" s="18" t="s">
        <v>77</v>
      </c>
      <c r="E23" s="48">
        <f>28.2+15.1+12.9</f>
        <v>56.199999999999996</v>
      </c>
      <c r="F23" s="49">
        <f>+E23/E$31*100</f>
        <v>3.7919168747048095</v>
      </c>
      <c r="G23" s="51">
        <f>485+153+192</f>
        <v>830</v>
      </c>
      <c r="H23" s="49">
        <f>+G23/G$31*100</f>
        <v>9.5798707294552177</v>
      </c>
    </row>
    <row r="25" spans="3:8" ht="14.25" x14ac:dyDescent="0.2">
      <c r="C25" s="90">
        <v>5</v>
      </c>
      <c r="D25" s="18" t="s">
        <v>86</v>
      </c>
      <c r="E25" s="48">
        <f>2.5+9.2+2.3+21.3+6.4</f>
        <v>41.699999999999996</v>
      </c>
      <c r="F25" s="49">
        <f>+E25/E$31*100</f>
        <v>2.8135753322987642</v>
      </c>
      <c r="G25" s="51">
        <f>45+102+18+176+66</f>
        <v>407</v>
      </c>
      <c r="H25" s="49">
        <f>+G25/G$31*100</f>
        <v>4.697599261311173</v>
      </c>
    </row>
    <row r="27" spans="3:8" ht="14.25" x14ac:dyDescent="0.2">
      <c r="C27" s="90">
        <v>2</v>
      </c>
      <c r="D27" s="18" t="s">
        <v>56</v>
      </c>
      <c r="E27" s="48">
        <f>5.8+9.5</f>
        <v>15.3</v>
      </c>
      <c r="F27" s="49">
        <f>+E27/E$31*100</f>
        <v>1.0323190068146546</v>
      </c>
      <c r="G27" s="51">
        <f>190+50</f>
        <v>240</v>
      </c>
      <c r="H27" s="49">
        <f>+G27/G$31*100</f>
        <v>2.7700831024930745</v>
      </c>
    </row>
    <row r="28" spans="3:8" ht="14.25" x14ac:dyDescent="0.2">
      <c r="C28" s="89"/>
      <c r="D28" s="18"/>
      <c r="E28" s="48"/>
      <c r="F28" s="49"/>
      <c r="G28" s="51"/>
      <c r="H28" s="49"/>
    </row>
    <row r="29" spans="3:8" ht="14.25" x14ac:dyDescent="0.2">
      <c r="C29" s="90">
        <v>2</v>
      </c>
      <c r="D29" s="18" t="s">
        <v>90</v>
      </c>
      <c r="E29" s="48">
        <f>2.6+0.7</f>
        <v>3.3</v>
      </c>
      <c r="F29" s="49">
        <f>+E29/E$31*100</f>
        <v>0.22265704068551376</v>
      </c>
      <c r="G29" s="51">
        <v>24</v>
      </c>
      <c r="H29" s="49">
        <f>+G29/G$31*100</f>
        <v>0.2770083102493075</v>
      </c>
    </row>
    <row r="30" spans="3:8" ht="15" thickBot="1" x14ac:dyDescent="0.25">
      <c r="C30" s="45"/>
      <c r="D30" s="18"/>
      <c r="E30" s="48"/>
      <c r="F30" s="49"/>
      <c r="G30" s="50"/>
      <c r="H30" s="49"/>
    </row>
    <row r="31" spans="3:8" ht="13.5" thickBot="1" x14ac:dyDescent="0.25">
      <c r="C31" s="91">
        <f>SUM(C13:C30)</f>
        <v>69</v>
      </c>
      <c r="D31" s="29" t="s">
        <v>101</v>
      </c>
      <c r="E31" s="52">
        <f>SUM(E13:E29)</f>
        <v>1482.1000000000004</v>
      </c>
      <c r="F31" s="52">
        <f>SUM(F13:F30)</f>
        <v>100</v>
      </c>
      <c r="G31" s="53">
        <f>SUM(G13:G29)</f>
        <v>8664</v>
      </c>
      <c r="H31" s="54">
        <f ca="1">SUM(H13:H34)</f>
        <v>100.00000000000001</v>
      </c>
    </row>
    <row r="32" spans="3:8" x14ac:dyDescent="0.2">
      <c r="C32" s="55" t="s">
        <v>102</v>
      </c>
    </row>
    <row r="33" spans="3:7" ht="14.25" x14ac:dyDescent="0.2">
      <c r="C33" s="56" t="s">
        <v>232</v>
      </c>
      <c r="E33" s="57"/>
      <c r="F33" s="58"/>
    </row>
    <row r="34" spans="3:7" x14ac:dyDescent="0.2">
      <c r="G34" s="59"/>
    </row>
    <row r="35" spans="3:7" x14ac:dyDescent="0.2">
      <c r="G35" s="59"/>
    </row>
    <row r="36" spans="3:7" x14ac:dyDescent="0.2">
      <c r="E36" s="58"/>
    </row>
  </sheetData>
  <sortState ref="C13:H27">
    <sortCondition descending="1" ref="C13"/>
  </sortState>
  <mergeCells count="4">
    <mergeCell ref="C4:H4"/>
    <mergeCell ref="C5:H5"/>
    <mergeCell ref="C7:H7"/>
    <mergeCell ref="C8:H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35"/>
  <sheetViews>
    <sheetView topLeftCell="A7" workbookViewId="0">
      <selection activeCell="D22" sqref="D22"/>
    </sheetView>
  </sheetViews>
  <sheetFormatPr defaultRowHeight="12.75" x14ac:dyDescent="0.2"/>
  <cols>
    <col min="2" max="2" width="24.5703125" bestFit="1" customWidth="1"/>
    <col min="3" max="3" width="23.28515625" bestFit="1" customWidth="1"/>
    <col min="4" max="4" width="18.140625" bestFit="1" customWidth="1"/>
    <col min="5" max="5" width="10.28515625" bestFit="1" customWidth="1"/>
    <col min="6" max="6" width="15.5703125" bestFit="1" customWidth="1"/>
    <col min="7" max="7" width="7.85546875" bestFit="1" customWidth="1"/>
  </cols>
  <sheetData>
    <row r="4" spans="2:7" x14ac:dyDescent="0.2">
      <c r="B4" s="104" t="s">
        <v>0</v>
      </c>
      <c r="C4" s="104"/>
      <c r="D4" s="104"/>
      <c r="E4" s="104"/>
      <c r="F4" s="104"/>
      <c r="G4" s="104"/>
    </row>
    <row r="5" spans="2:7" x14ac:dyDescent="0.2">
      <c r="B5" s="104" t="s">
        <v>1</v>
      </c>
      <c r="C5" s="104"/>
      <c r="D5" s="104"/>
      <c r="E5" s="104"/>
      <c r="F5" s="104"/>
      <c r="G5" s="104"/>
    </row>
    <row r="6" spans="2:7" x14ac:dyDescent="0.2">
      <c r="B6" s="75"/>
      <c r="C6" s="75"/>
      <c r="D6" s="75"/>
      <c r="E6" s="75"/>
      <c r="F6" s="75"/>
      <c r="G6" s="75"/>
    </row>
    <row r="7" spans="2:7" x14ac:dyDescent="0.2">
      <c r="B7" s="104" t="s">
        <v>103</v>
      </c>
      <c r="C7" s="104"/>
      <c r="D7" s="104"/>
      <c r="E7" s="104"/>
      <c r="F7" s="104"/>
      <c r="G7" s="104"/>
    </row>
    <row r="8" spans="2:7" x14ac:dyDescent="0.2">
      <c r="B8" s="104" t="s">
        <v>109</v>
      </c>
      <c r="C8" s="104"/>
      <c r="D8" s="104"/>
      <c r="E8" s="104"/>
      <c r="F8" s="104"/>
      <c r="G8" s="104"/>
    </row>
    <row r="9" spans="2:7" ht="13.5" thickBot="1" x14ac:dyDescent="0.25"/>
    <row r="10" spans="2:7" x14ac:dyDescent="0.2">
      <c r="B10" s="76"/>
      <c r="C10" s="60"/>
      <c r="D10" s="61" t="s">
        <v>94</v>
      </c>
      <c r="E10" s="61"/>
      <c r="F10" s="61" t="s">
        <v>110</v>
      </c>
      <c r="G10" s="62"/>
    </row>
    <row r="11" spans="2:7" ht="13.5" thickBot="1" x14ac:dyDescent="0.25">
      <c r="B11" s="77" t="s">
        <v>111</v>
      </c>
      <c r="C11" s="63" t="s">
        <v>112</v>
      </c>
      <c r="D11" s="65" t="s">
        <v>113</v>
      </c>
      <c r="E11" s="78" t="s">
        <v>99</v>
      </c>
      <c r="F11" s="65" t="s">
        <v>100</v>
      </c>
      <c r="G11" s="66" t="s">
        <v>99</v>
      </c>
    </row>
    <row r="12" spans="2:7" x14ac:dyDescent="0.2">
      <c r="B12" s="67"/>
      <c r="C12" s="67"/>
      <c r="D12" s="67"/>
      <c r="E12" s="45"/>
      <c r="F12" s="67"/>
      <c r="G12" s="67"/>
    </row>
    <row r="13" spans="2:7" ht="14.25" x14ac:dyDescent="0.2">
      <c r="B13" s="102">
        <v>34</v>
      </c>
      <c r="C13" s="80" t="s">
        <v>34</v>
      </c>
      <c r="D13" s="81">
        <f>382.7+8+20.9+0.7+25.2-5.8+171.4+14.8+12.9+6.4</f>
        <v>637.19999999999982</v>
      </c>
      <c r="E13" s="81">
        <f>+D13/D$31*100</f>
        <v>42.993050401457396</v>
      </c>
      <c r="F13" s="82">
        <f>2012+26+261+24+245-108+900+123+192+66</f>
        <v>3741</v>
      </c>
      <c r="G13" s="81">
        <f>+F13/F$31*100</f>
        <v>43.178670360110807</v>
      </c>
    </row>
    <row r="14" spans="2:7" ht="14.25" x14ac:dyDescent="0.2">
      <c r="B14" s="102"/>
      <c r="C14" s="80"/>
      <c r="D14" s="81"/>
      <c r="E14" s="81"/>
      <c r="F14" s="82"/>
      <c r="G14" s="81">
        <f>+F14/F$31*100</f>
        <v>0</v>
      </c>
    </row>
    <row r="15" spans="2:7" ht="14.25" x14ac:dyDescent="0.2">
      <c r="B15" s="102">
        <v>4</v>
      </c>
      <c r="C15" s="80" t="s">
        <v>43</v>
      </c>
      <c r="D15" s="81">
        <f>443.2+5.4</f>
        <v>448.59999999999997</v>
      </c>
      <c r="E15" s="81">
        <f>+D15/D$31*100</f>
        <v>30.267863167127736</v>
      </c>
      <c r="F15" s="82">
        <f>279+1400+184</f>
        <v>1863</v>
      </c>
      <c r="G15" s="81">
        <f>+F15/F$31*100</f>
        <v>21.502770083102494</v>
      </c>
    </row>
    <row r="16" spans="2:7" ht="14.25" x14ac:dyDescent="0.2">
      <c r="B16" s="55"/>
      <c r="C16" s="83"/>
      <c r="E16" s="81"/>
      <c r="G16" s="81"/>
    </row>
    <row r="17" spans="2:7" ht="14.25" x14ac:dyDescent="0.2">
      <c r="B17" s="102">
        <v>14</v>
      </c>
      <c r="C17" s="80" t="s">
        <v>29</v>
      </c>
      <c r="D17" s="81">
        <f>10.9+5.8+72.5+12.8+51.8+8.9+9.5+125.1+171.3+5.2+0.8-236.4+42.2</f>
        <v>280.40000000000003</v>
      </c>
      <c r="E17" s="81">
        <f>+D17/D$31*100</f>
        <v>18.919101275217606</v>
      </c>
      <c r="F17" s="82">
        <f>196+190+138+123+50+500+102+88+1205+19</f>
        <v>2611</v>
      </c>
      <c r="G17" s="81">
        <f>+F17/F$31*100</f>
        <v>30.136195752539241</v>
      </c>
    </row>
    <row r="18" spans="2:7" x14ac:dyDescent="0.2">
      <c r="B18" s="55"/>
    </row>
    <row r="19" spans="2:7" ht="14.25" x14ac:dyDescent="0.2">
      <c r="B19" s="102">
        <v>2</v>
      </c>
      <c r="C19" s="80" t="s">
        <v>115</v>
      </c>
      <c r="D19" s="81">
        <f>30+1.6</f>
        <v>31.6</v>
      </c>
      <c r="E19" s="81">
        <f>+D19/D$31*100</f>
        <v>2.1321098441400723</v>
      </c>
      <c r="F19" s="82">
        <v>0</v>
      </c>
      <c r="G19" s="81">
        <f>+F19/F$31*100</f>
        <v>0</v>
      </c>
    </row>
    <row r="20" spans="2:7" ht="14.25" x14ac:dyDescent="0.2">
      <c r="B20" s="102"/>
      <c r="C20" s="80"/>
      <c r="D20" s="81"/>
      <c r="E20" s="81"/>
      <c r="F20" s="82"/>
      <c r="G20" s="81"/>
    </row>
    <row r="21" spans="2:7" ht="14.25" x14ac:dyDescent="0.2">
      <c r="B21" s="102">
        <v>3</v>
      </c>
      <c r="C21" s="80" t="s">
        <v>142</v>
      </c>
      <c r="D21" s="81">
        <f>5.5+16.6</f>
        <v>22.1</v>
      </c>
      <c r="E21" s="81">
        <f>+D21/D$31*100</f>
        <v>1.4911274542878354</v>
      </c>
      <c r="F21" s="82">
        <f>45+158</f>
        <v>203</v>
      </c>
      <c r="G21" s="81">
        <f>+F21/F$31*100</f>
        <v>2.3430286241920588</v>
      </c>
    </row>
    <row r="23" spans="2:7" ht="14.25" x14ac:dyDescent="0.2">
      <c r="B23" s="102">
        <v>7</v>
      </c>
      <c r="C23" s="80" t="s">
        <v>52</v>
      </c>
      <c r="D23" s="81">
        <f>6+2.2+8.4+2.6+1.4</f>
        <v>20.6</v>
      </c>
      <c r="E23" s="81">
        <f>+D23/D$31*100</f>
        <v>1.3899197085216928</v>
      </c>
      <c r="F23" s="82">
        <v>0</v>
      </c>
      <c r="G23" s="81">
        <f>+F23/F$31*100</f>
        <v>0</v>
      </c>
    </row>
    <row r="24" spans="2:7" ht="14.25" x14ac:dyDescent="0.2">
      <c r="B24" s="102"/>
      <c r="C24" s="80"/>
      <c r="D24" s="81"/>
      <c r="E24" s="81"/>
      <c r="F24" s="82"/>
      <c r="G24" s="81"/>
    </row>
    <row r="25" spans="2:7" ht="14.25" x14ac:dyDescent="0.2">
      <c r="B25" s="102">
        <v>2</v>
      </c>
      <c r="C25" s="80" t="s">
        <v>126</v>
      </c>
      <c r="D25" s="81">
        <f>16.5+2.3</f>
        <v>18.8</v>
      </c>
      <c r="E25" s="81">
        <f>+D25/D$31*100</f>
        <v>1.2684704136023215</v>
      </c>
      <c r="F25" s="82">
        <f>228+18</f>
        <v>246</v>
      </c>
      <c r="G25" s="81">
        <f>+F25/F$31*100</f>
        <v>2.8393351800554014</v>
      </c>
    </row>
    <row r="26" spans="2:7" ht="14.25" x14ac:dyDescent="0.2">
      <c r="B26" s="102"/>
      <c r="C26" s="80"/>
      <c r="D26" s="81"/>
      <c r="E26" s="81"/>
      <c r="F26" s="82"/>
      <c r="G26" s="81"/>
    </row>
    <row r="27" spans="2:7" ht="14.25" x14ac:dyDescent="0.2">
      <c r="B27" s="102">
        <v>2</v>
      </c>
      <c r="C27" s="80" t="s">
        <v>130</v>
      </c>
      <c r="D27" s="81">
        <v>13.1</v>
      </c>
      <c r="E27" s="81">
        <f>+D27/D$31*100</f>
        <v>0.88388097969097934</v>
      </c>
      <c r="F27" s="82">
        <v>0</v>
      </c>
      <c r="G27" s="81">
        <f>+F27/F$31*100</f>
        <v>0</v>
      </c>
    </row>
    <row r="28" spans="2:7" ht="14.25" x14ac:dyDescent="0.2">
      <c r="B28" s="102"/>
      <c r="C28" s="80"/>
      <c r="D28" s="81"/>
      <c r="E28" s="81"/>
      <c r="F28" s="82"/>
      <c r="G28" s="81"/>
    </row>
    <row r="29" spans="2:7" ht="14.25" x14ac:dyDescent="0.2">
      <c r="B29" s="102">
        <v>1</v>
      </c>
      <c r="C29" s="80" t="s">
        <v>157</v>
      </c>
      <c r="D29" s="81">
        <v>9.6999999999999993</v>
      </c>
      <c r="E29" s="81">
        <f>+D29/D$31*100</f>
        <v>0.65447675595438926</v>
      </c>
      <c r="F29" s="82">
        <v>0</v>
      </c>
      <c r="G29" s="81">
        <f>+F29/F$31*100</f>
        <v>0</v>
      </c>
    </row>
    <row r="30" spans="2:7" ht="15.75" thickBot="1" x14ac:dyDescent="0.3">
      <c r="B30" s="79"/>
      <c r="C30" s="80"/>
      <c r="D30" s="81"/>
      <c r="E30" s="81"/>
      <c r="F30" s="82"/>
      <c r="G30" s="81"/>
    </row>
    <row r="31" spans="2:7" ht="13.5" thickBot="1" x14ac:dyDescent="0.25">
      <c r="B31" s="84">
        <f>SUM(B13:B29)</f>
        <v>69</v>
      </c>
      <c r="C31" s="85"/>
      <c r="D31" s="52">
        <f>SUM(D13:D29)</f>
        <v>1482.0999999999995</v>
      </c>
      <c r="E31" s="86">
        <f>SUM(E14:E30)</f>
        <v>57.00694959854264</v>
      </c>
      <c r="F31" s="87">
        <f>SUM(F13:F29)</f>
        <v>8664</v>
      </c>
      <c r="G31" s="88">
        <f>SUM(G14:G30)</f>
        <v>56.821329639889193</v>
      </c>
    </row>
    <row r="33" spans="2:6" x14ac:dyDescent="0.2">
      <c r="B33" s="55" t="s">
        <v>102</v>
      </c>
      <c r="F33" s="59"/>
    </row>
    <row r="34" spans="2:6" ht="14.25" x14ac:dyDescent="0.2">
      <c r="B34" s="56" t="s">
        <v>232</v>
      </c>
      <c r="D34" s="58"/>
    </row>
    <row r="35" spans="2:6" x14ac:dyDescent="0.2">
      <c r="F35" s="59"/>
    </row>
  </sheetData>
  <mergeCells count="4">
    <mergeCell ref="B4:G4"/>
    <mergeCell ref="B5:G5"/>
    <mergeCell ref="B7:G7"/>
    <mergeCell ref="B8:G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3"/>
  <sheetViews>
    <sheetView topLeftCell="A4" workbookViewId="0">
      <selection activeCell="B9" sqref="B9"/>
    </sheetView>
  </sheetViews>
  <sheetFormatPr defaultRowHeight="12.75" x14ac:dyDescent="0.2"/>
  <cols>
    <col min="1" max="1" width="7.42578125" customWidth="1"/>
    <col min="2" max="2" width="33.42578125" customWidth="1"/>
    <col min="3" max="3" width="18.140625" bestFit="1" customWidth="1"/>
    <col min="5" max="5" width="18.140625" customWidth="1"/>
    <col min="7" max="7" width="18.7109375" customWidth="1"/>
    <col min="10" max="10" width="23.7109375" bestFit="1" customWidth="1"/>
  </cols>
  <sheetData>
    <row r="4" spans="1:10" x14ac:dyDescent="0.2">
      <c r="B4" s="104" t="s">
        <v>0</v>
      </c>
      <c r="C4" s="104"/>
      <c r="D4" s="104"/>
      <c r="E4" s="104"/>
    </row>
    <row r="5" spans="1:10" x14ac:dyDescent="0.2">
      <c r="B5" s="104" t="s">
        <v>104</v>
      </c>
      <c r="C5" s="104"/>
      <c r="D5" s="104"/>
      <c r="E5" s="104"/>
    </row>
    <row r="7" spans="1:10" x14ac:dyDescent="0.2">
      <c r="B7" s="104" t="s">
        <v>177</v>
      </c>
      <c r="C7" s="104"/>
      <c r="D7" s="104"/>
      <c r="E7" s="104"/>
    </row>
    <row r="8" spans="1:10" x14ac:dyDescent="0.2">
      <c r="B8" s="104" t="s">
        <v>105</v>
      </c>
      <c r="C8" s="104"/>
      <c r="D8" s="104"/>
      <c r="E8" s="104"/>
    </row>
    <row r="9" spans="1:10" ht="13.5" thickBot="1" x14ac:dyDescent="0.25"/>
    <row r="10" spans="1:10" x14ac:dyDescent="0.2">
      <c r="B10" s="60"/>
      <c r="C10" s="61" t="s">
        <v>94</v>
      </c>
      <c r="D10" s="61"/>
      <c r="E10" s="62" t="s">
        <v>106</v>
      </c>
    </row>
    <row r="11" spans="1:10" ht="13.5" thickBot="1" x14ac:dyDescent="0.25">
      <c r="B11" s="63" t="s">
        <v>107</v>
      </c>
      <c r="C11" s="64" t="s">
        <v>108</v>
      </c>
      <c r="D11" s="65"/>
      <c r="E11" s="66" t="s">
        <v>99</v>
      </c>
    </row>
    <row r="12" spans="1:10" x14ac:dyDescent="0.2">
      <c r="B12" s="67"/>
      <c r="C12" s="68"/>
      <c r="D12" s="67"/>
      <c r="E12" s="67"/>
    </row>
    <row r="13" spans="1:10" ht="15" x14ac:dyDescent="0.2">
      <c r="A13" s="48"/>
      <c r="B13" s="93" t="s">
        <v>39</v>
      </c>
      <c r="C13" s="48">
        <f>721.7+5.4+6.4-5.1</f>
        <v>728.4</v>
      </c>
      <c r="D13" s="67"/>
      <c r="E13" s="69">
        <f t="shared" ref="E13:E26" si="0">+C13/C$28*100</f>
        <v>49.146481344038875</v>
      </c>
      <c r="G13" s="92"/>
      <c r="J13" s="21"/>
    </row>
    <row r="14" spans="1:10" ht="15" x14ac:dyDescent="0.2">
      <c r="A14" s="48"/>
      <c r="B14" s="93" t="s">
        <v>121</v>
      </c>
      <c r="C14" s="48">
        <f>249.8+5.4+14.8+42.2</f>
        <v>312.2</v>
      </c>
      <c r="E14" s="69">
        <f t="shared" si="0"/>
        <v>21.064705485459825</v>
      </c>
      <c r="J14" s="21"/>
    </row>
    <row r="15" spans="1:10" ht="15" x14ac:dyDescent="0.2">
      <c r="A15" s="48"/>
      <c r="B15" s="18" t="s">
        <v>207</v>
      </c>
      <c r="C15" s="48">
        <v>206</v>
      </c>
      <c r="D15" s="70"/>
      <c r="E15" s="69">
        <f t="shared" si="0"/>
        <v>13.899197085216924</v>
      </c>
      <c r="J15" s="21"/>
    </row>
    <row r="16" spans="1:10" ht="15" x14ac:dyDescent="0.2">
      <c r="A16" s="48"/>
      <c r="B16" s="93" t="s">
        <v>57</v>
      </c>
      <c r="C16" s="48">
        <v>47.400000000000006</v>
      </c>
      <c r="D16" s="67"/>
      <c r="E16" s="69">
        <f t="shared" si="0"/>
        <v>3.1981647662101085</v>
      </c>
      <c r="J16" s="28"/>
    </row>
    <row r="17" spans="1:10" ht="15" x14ac:dyDescent="0.2">
      <c r="A17" s="48"/>
      <c r="B17" s="93" t="s">
        <v>139</v>
      </c>
      <c r="C17" s="48">
        <v>46</v>
      </c>
      <c r="D17" s="67"/>
      <c r="E17" s="69">
        <f t="shared" si="0"/>
        <v>3.1037042034950413</v>
      </c>
      <c r="J17" s="21"/>
    </row>
    <row r="18" spans="1:10" ht="15" x14ac:dyDescent="0.2">
      <c r="A18" s="48"/>
      <c r="B18" s="93" t="s">
        <v>36</v>
      </c>
      <c r="C18" s="48">
        <v>44.1</v>
      </c>
      <c r="D18" s="67"/>
      <c r="E18" s="69">
        <f t="shared" si="0"/>
        <v>2.9755077255245945</v>
      </c>
      <c r="J18" s="13"/>
    </row>
    <row r="19" spans="1:10" ht="14.25" x14ac:dyDescent="0.2">
      <c r="A19" s="48"/>
      <c r="B19" s="18" t="s">
        <v>22</v>
      </c>
      <c r="C19" s="48">
        <f>32.4+12.9</f>
        <v>45.3</v>
      </c>
      <c r="D19" s="67"/>
      <c r="E19" s="69">
        <f t="shared" si="0"/>
        <v>3.0564739221375081</v>
      </c>
    </row>
    <row r="20" spans="1:10" ht="15" x14ac:dyDescent="0.2">
      <c r="A20" s="48"/>
      <c r="B20" s="93" t="s">
        <v>63</v>
      </c>
      <c r="C20" s="48">
        <v>13.399999999999977</v>
      </c>
      <c r="D20" s="67"/>
      <c r="E20" s="69">
        <f t="shared" si="0"/>
        <v>0.90412252884420619</v>
      </c>
    </row>
    <row r="21" spans="1:10" ht="14.25" x14ac:dyDescent="0.2">
      <c r="A21" s="48"/>
      <c r="B21" s="18" t="s">
        <v>158</v>
      </c>
      <c r="C21" s="48">
        <v>13.1</v>
      </c>
      <c r="D21" s="70"/>
      <c r="E21" s="69">
        <f t="shared" si="0"/>
        <v>0.88388097969097912</v>
      </c>
    </row>
    <row r="22" spans="1:10" ht="14.25" x14ac:dyDescent="0.2">
      <c r="A22" s="48"/>
      <c r="B22" s="18" t="s">
        <v>173</v>
      </c>
      <c r="C22" s="48">
        <v>12</v>
      </c>
      <c r="D22" s="70"/>
      <c r="E22" s="69">
        <f t="shared" si="0"/>
        <v>0.80966196612914132</v>
      </c>
    </row>
    <row r="23" spans="1:10" ht="15" x14ac:dyDescent="0.2">
      <c r="A23" s="48"/>
      <c r="B23" s="93" t="s">
        <v>81</v>
      </c>
      <c r="C23" s="48">
        <v>4.2</v>
      </c>
      <c r="D23" s="67"/>
      <c r="E23" s="69">
        <f t="shared" si="0"/>
        <v>0.28338168814519948</v>
      </c>
    </row>
    <row r="24" spans="1:10" ht="14.25" x14ac:dyDescent="0.2">
      <c r="A24" s="48"/>
      <c r="B24" s="18" t="s">
        <v>206</v>
      </c>
      <c r="C24" s="48">
        <v>3.9</v>
      </c>
      <c r="D24" s="67"/>
      <c r="E24" s="69">
        <f t="shared" si="0"/>
        <v>0.26314013899197092</v>
      </c>
    </row>
    <row r="25" spans="1:10" ht="14.25" x14ac:dyDescent="0.2">
      <c r="A25" s="48"/>
      <c r="B25" s="18" t="s">
        <v>87</v>
      </c>
      <c r="C25" s="48">
        <v>2.5</v>
      </c>
      <c r="D25" s="67"/>
      <c r="E25" s="69">
        <f t="shared" si="0"/>
        <v>0.16867957627690444</v>
      </c>
    </row>
    <row r="26" spans="1:10" ht="15" x14ac:dyDescent="0.2">
      <c r="A26" s="48"/>
      <c r="B26" s="93" t="s">
        <v>53</v>
      </c>
      <c r="C26" s="48">
        <f>2.2+1.4</f>
        <v>3.6</v>
      </c>
      <c r="D26" s="67"/>
      <c r="E26" s="69">
        <f t="shared" si="0"/>
        <v>0.24289858983874238</v>
      </c>
    </row>
    <row r="27" spans="1:10" ht="15" thickBot="1" x14ac:dyDescent="0.25">
      <c r="B27" s="18"/>
      <c r="C27" s="48"/>
      <c r="D27" s="70"/>
      <c r="E27" s="71"/>
    </row>
    <row r="28" spans="1:10" ht="15" thickBot="1" x14ac:dyDescent="0.25">
      <c r="B28" s="72"/>
      <c r="C28" s="73">
        <f>SUM(C13:C26)</f>
        <v>1482.0999999999997</v>
      </c>
      <c r="D28" s="30"/>
      <c r="E28" s="74">
        <f>SUM(E13:E26)</f>
        <v>100.00000000000004</v>
      </c>
    </row>
    <row r="29" spans="1:10" ht="14.25" x14ac:dyDescent="0.2">
      <c r="B29" s="56" t="s">
        <v>102</v>
      </c>
    </row>
    <row r="30" spans="1:10" x14ac:dyDescent="0.2">
      <c r="B30" s="55" t="s">
        <v>232</v>
      </c>
    </row>
    <row r="31" spans="1:10" x14ac:dyDescent="0.2">
      <c r="C31" s="58"/>
    </row>
    <row r="32" spans="1:10" ht="15" x14ac:dyDescent="0.2">
      <c r="J32" s="21"/>
    </row>
    <row r="33" spans="3:10" ht="14.25" x14ac:dyDescent="0.2">
      <c r="C33" s="58"/>
      <c r="J33" s="13"/>
    </row>
    <row r="34" spans="3:10" ht="14.25" x14ac:dyDescent="0.2">
      <c r="C34" s="96"/>
      <c r="J34" s="13"/>
    </row>
    <row r="35" spans="3:10" ht="15" x14ac:dyDescent="0.2">
      <c r="J35" s="21"/>
    </row>
    <row r="36" spans="3:10" ht="15" x14ac:dyDescent="0.2">
      <c r="J36" s="21"/>
    </row>
    <row r="37" spans="3:10" ht="14.25" x14ac:dyDescent="0.2">
      <c r="J37" s="13"/>
    </row>
    <row r="38" spans="3:10" ht="14.25" x14ac:dyDescent="0.2">
      <c r="J38" s="13"/>
    </row>
    <row r="39" spans="3:10" ht="14.25" x14ac:dyDescent="0.2">
      <c r="J39" s="13"/>
    </row>
    <row r="40" spans="3:10" ht="14.25" x14ac:dyDescent="0.2">
      <c r="J40" s="13"/>
    </row>
    <row r="41" spans="3:10" ht="15" x14ac:dyDescent="0.2">
      <c r="J41" s="21"/>
    </row>
    <row r="42" spans="3:10" ht="15" x14ac:dyDescent="0.2">
      <c r="J42" s="21"/>
    </row>
    <row r="43" spans="3:10" ht="15" x14ac:dyDescent="0.2">
      <c r="J43" s="21"/>
    </row>
    <row r="44" spans="3:10" ht="15" x14ac:dyDescent="0.2">
      <c r="J44" s="21"/>
    </row>
    <row r="45" spans="3:10" ht="14.25" x14ac:dyDescent="0.2">
      <c r="J45" s="13"/>
    </row>
    <row r="47" spans="3:10" ht="15" x14ac:dyDescent="0.2">
      <c r="J47" s="28"/>
    </row>
    <row r="48" spans="3:10" ht="15" x14ac:dyDescent="0.2">
      <c r="J48" s="28"/>
    </row>
    <row r="49" spans="10:10" ht="15" x14ac:dyDescent="0.2">
      <c r="J49" s="21"/>
    </row>
    <row r="50" spans="10:10" ht="15" x14ac:dyDescent="0.2">
      <c r="J50" s="21"/>
    </row>
    <row r="51" spans="10:10" ht="15" x14ac:dyDescent="0.2">
      <c r="J51" s="28"/>
    </row>
    <row r="52" spans="10:10" ht="14.25" x14ac:dyDescent="0.2">
      <c r="J52" s="13"/>
    </row>
    <row r="53" spans="10:10" ht="14.25" x14ac:dyDescent="0.2">
      <c r="J53" s="13"/>
    </row>
  </sheetData>
  <sortState ref="A13:F26">
    <sortCondition descending="1" ref="A13"/>
  </sortState>
  <mergeCells count="4">
    <mergeCell ref="B4:E4"/>
    <mergeCell ref="B5:E5"/>
    <mergeCell ref="B7:E7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 prov y def</vt:lpstr>
      <vt:lpstr>provincia</vt:lpstr>
      <vt:lpstr>tipo</vt:lpstr>
      <vt:lpstr>origen</vt:lpstr>
      <vt:lpstr>tipo!Print_Area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Sigfredo Miranda</dc:creator>
  <cp:lastModifiedBy>Sigfredo Miranda</cp:lastModifiedBy>
  <cp:lastPrinted>2016-12-19T14:26:43Z</cp:lastPrinted>
  <dcterms:created xsi:type="dcterms:W3CDTF">2016-04-12T17:29:12Z</dcterms:created>
  <dcterms:modified xsi:type="dcterms:W3CDTF">2016-12-19T14:31:01Z</dcterms:modified>
</cp:coreProperties>
</file>